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10" yWindow="390" windowWidth="17880" windowHeight="10155"/>
  </bookViews>
  <sheets>
    <sheet name="TFTSheet1" sheetId="1" r:id="rId1"/>
    <sheet name="Minion Maker" sheetId="10" r:id="rId2"/>
    <sheet name="Minion Sheet" sheetId="11" r:id="rId3"/>
    <sheet name="Talents 2" sheetId="2" r:id="rId4"/>
    <sheet name="Instructions" sheetId="3" r:id="rId5"/>
    <sheet name="Arms" sheetId="4" r:id="rId6"/>
    <sheet name="Race" sheetId="5" r:id="rId7"/>
    <sheet name="Talents" sheetId="6" r:id="rId8"/>
    <sheet name="spells" sheetId="7" r:id="rId9"/>
    <sheet name="defense" sheetId="8" r:id="rId10"/>
    <sheet name="Sheet1" sheetId="9" r:id="rId11"/>
  </sheets>
  <definedNames>
    <definedName name="armor">defense!$I$2:$N$10</definedName>
    <definedName name="costCol">TFTSheet1!$V$3:$W$3</definedName>
    <definedName name="damCol">TFTSheet1!$V$3:$W$3</definedName>
    <definedName name="magicspells">spells!$B$2:$K$82</definedName>
    <definedName name="races">Race!$B$3:$K$132</definedName>
    <definedName name="ShieldHomeCell">TFTSheet1!$V$5:$W$5</definedName>
    <definedName name="shields">defense!$B$2:$G$8</definedName>
    <definedName name="strength">Arms!$J$2:$K$61</definedName>
    <definedName name="strMinCol">TFTSheet1!$V$3:$W$3</definedName>
    <definedName name="talents">Talents!$B$2:$I$97</definedName>
    <definedName name="totWt">TFTSheet1!$S$10</definedName>
    <definedName name="weapons">Arms!$B$2:$G$78</definedName>
    <definedName name="wtCol">TFTSheet1!$W$3</definedName>
  </definedNames>
  <calcPr calcId="125725"/>
</workbook>
</file>

<file path=xl/calcChain.xml><?xml version="1.0" encoding="utf-8"?>
<calcChain xmlns="http://schemas.openxmlformats.org/spreadsheetml/2006/main">
  <c r="M11" i="11"/>
  <c r="H11"/>
  <c r="D11"/>
  <c r="C11"/>
  <c r="M10"/>
  <c r="H10"/>
  <c r="C10"/>
  <c r="C9"/>
  <c r="C8"/>
  <c r="M19" s="1"/>
  <c r="D7"/>
  <c r="N6"/>
  <c r="C37" i="10"/>
  <c r="C36"/>
  <c r="C30"/>
  <c r="C29"/>
  <c r="C23"/>
  <c r="C22"/>
  <c r="C16"/>
  <c r="C15"/>
  <c r="D7"/>
  <c r="M39"/>
  <c r="H39"/>
  <c r="D39"/>
  <c r="C39"/>
  <c r="M38"/>
  <c r="H38"/>
  <c r="C38"/>
  <c r="M32"/>
  <c r="H32"/>
  <c r="D32"/>
  <c r="C32"/>
  <c r="M31"/>
  <c r="H31"/>
  <c r="C31"/>
  <c r="M18"/>
  <c r="H18"/>
  <c r="D18"/>
  <c r="C18"/>
  <c r="M17"/>
  <c r="H17"/>
  <c r="C17"/>
  <c r="M11"/>
  <c r="H11"/>
  <c r="D11"/>
  <c r="C11"/>
  <c r="M10"/>
  <c r="H10"/>
  <c r="C10"/>
  <c r="C9"/>
  <c r="C8"/>
  <c r="D35"/>
  <c r="D28"/>
  <c r="D21"/>
  <c r="D14"/>
  <c r="N34"/>
  <c r="N27"/>
  <c r="M25"/>
  <c r="H25"/>
  <c r="D25"/>
  <c r="C25"/>
  <c r="M24"/>
  <c r="H24"/>
  <c r="C24"/>
  <c r="N20"/>
  <c r="N13"/>
  <c r="N6"/>
  <c r="P11" s="1"/>
  <c r="K37" i="5"/>
  <c r="K36"/>
  <c r="K39"/>
  <c r="K40"/>
  <c r="K41"/>
  <c r="K42"/>
  <c r="K43"/>
  <c r="K44"/>
  <c r="K46"/>
  <c r="K45"/>
  <c r="K47"/>
  <c r="K49"/>
  <c r="K48"/>
  <c r="K50"/>
  <c r="K51"/>
  <c r="K52"/>
  <c r="K53"/>
  <c r="K55"/>
  <c r="K54"/>
  <c r="K56"/>
  <c r="K57"/>
  <c r="K58"/>
  <c r="K59"/>
  <c r="K60"/>
  <c r="K63"/>
  <c r="K61"/>
  <c r="K62"/>
  <c r="K64"/>
  <c r="K65"/>
  <c r="K66"/>
  <c r="K68"/>
  <c r="K70"/>
  <c r="K69"/>
  <c r="K67"/>
  <c r="K126"/>
  <c r="K72"/>
  <c r="K71"/>
  <c r="K73"/>
  <c r="K75"/>
  <c r="K74"/>
  <c r="K76"/>
  <c r="K77"/>
  <c r="K78"/>
  <c r="K79"/>
  <c r="K80"/>
  <c r="K81"/>
  <c r="K82"/>
  <c r="K83"/>
  <c r="K84"/>
  <c r="K85"/>
  <c r="K86"/>
  <c r="K87"/>
  <c r="K88"/>
  <c r="K89"/>
  <c r="K92"/>
  <c r="K91"/>
  <c r="K93"/>
  <c r="K94"/>
  <c r="K95"/>
  <c r="K90"/>
  <c r="K96"/>
  <c r="K97"/>
  <c r="K98"/>
  <c r="K99"/>
  <c r="K101"/>
  <c r="K100"/>
  <c r="K102"/>
  <c r="K103"/>
  <c r="K104"/>
  <c r="K105"/>
  <c r="K106"/>
  <c r="K107"/>
  <c r="K108"/>
  <c r="K110"/>
  <c r="K109"/>
  <c r="K111"/>
  <c r="K112"/>
  <c r="K113"/>
  <c r="K114"/>
  <c r="K115"/>
  <c r="K116"/>
  <c r="K117"/>
  <c r="K118"/>
  <c r="K119"/>
  <c r="K120"/>
  <c r="K122"/>
  <c r="K121"/>
  <c r="K123"/>
  <c r="K124"/>
  <c r="K125"/>
  <c r="K127"/>
  <c r="K128"/>
  <c r="K129"/>
  <c r="K130"/>
  <c r="K131"/>
  <c r="K132"/>
  <c r="K38"/>
  <c r="N10" i="1"/>
  <c r="P10"/>
  <c r="K10"/>
  <c r="L10"/>
  <c r="M10"/>
  <c r="G8"/>
  <c r="R8"/>
  <c r="AA23"/>
  <c r="P32" i="10" l="1"/>
  <c r="P39"/>
  <c r="P18"/>
  <c r="P11" i="11"/>
  <c r="K15" s="1"/>
  <c r="K19"/>
  <c r="D21"/>
  <c r="D17"/>
  <c r="D13"/>
  <c r="K17"/>
  <c r="K13"/>
  <c r="D19"/>
  <c r="F15"/>
  <c r="F19"/>
  <c r="M13"/>
  <c r="M17"/>
  <c r="M21"/>
  <c r="F13"/>
  <c r="F17"/>
  <c r="F21"/>
  <c r="M15"/>
  <c r="P25" i="10"/>
  <c r="B85" i="7"/>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B4"/>
  <c r="B3"/>
  <c r="B2"/>
  <c r="B97" i="6"/>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B4"/>
  <c r="B3"/>
  <c r="B2"/>
  <c r="J40" i="4"/>
  <c r="J41" s="1"/>
  <c r="J42" s="1"/>
  <c r="J43" s="1"/>
  <c r="J44" s="1"/>
  <c r="J45" s="1"/>
  <c r="J46" s="1"/>
  <c r="J47" s="1"/>
  <c r="J48" s="1"/>
  <c r="J49" s="1"/>
  <c r="J51" s="1"/>
  <c r="J52" s="1"/>
  <c r="J53" s="1"/>
  <c r="J54" s="1"/>
  <c r="J55" s="1"/>
  <c r="J56" s="1"/>
  <c r="J57" s="1"/>
  <c r="J58" s="1"/>
  <c r="J59" s="1"/>
  <c r="J60" s="1"/>
  <c r="J61" s="1"/>
  <c r="A97" i="2"/>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I2"/>
  <c r="A2"/>
  <c r="V32" i="1"/>
  <c r="R32"/>
  <c r="Q32"/>
  <c r="M32"/>
  <c r="F32"/>
  <c r="E32"/>
  <c r="D32"/>
  <c r="V31"/>
  <c r="R31"/>
  <c r="Q31"/>
  <c r="M31"/>
  <c r="F31"/>
  <c r="E31"/>
  <c r="D31"/>
  <c r="V30"/>
  <c r="R30"/>
  <c r="Q30"/>
  <c r="M30"/>
  <c r="F30"/>
  <c r="E30"/>
  <c r="D30"/>
  <c r="V29"/>
  <c r="R29"/>
  <c r="Q29"/>
  <c r="M29"/>
  <c r="F29"/>
  <c r="E29"/>
  <c r="D29"/>
  <c r="V28"/>
  <c r="R28"/>
  <c r="Q28"/>
  <c r="M28"/>
  <c r="F28"/>
  <c r="E28"/>
  <c r="D28"/>
  <c r="V27"/>
  <c r="R27"/>
  <c r="Q27"/>
  <c r="M27"/>
  <c r="F27"/>
  <c r="E27"/>
  <c r="D27"/>
  <c r="V26"/>
  <c r="R26"/>
  <c r="Q26"/>
  <c r="M26"/>
  <c r="F26"/>
  <c r="E26"/>
  <c r="D26"/>
  <c r="V25"/>
  <c r="R25"/>
  <c r="Q25"/>
  <c r="M25"/>
  <c r="F25"/>
  <c r="E25"/>
  <c r="D25"/>
  <c r="V24"/>
  <c r="R24"/>
  <c r="Q24"/>
  <c r="M24"/>
  <c r="F24"/>
  <c r="E24"/>
  <c r="D24"/>
  <c r="V23"/>
  <c r="R23"/>
  <c r="Q23"/>
  <c r="M23"/>
  <c r="F23"/>
  <c r="E23"/>
  <c r="D23"/>
  <c r="V22"/>
  <c r="R22"/>
  <c r="Q22"/>
  <c r="M22"/>
  <c r="F22"/>
  <c r="E22"/>
  <c r="D22"/>
  <c r="V21"/>
  <c r="R21"/>
  <c r="Q21"/>
  <c r="F21"/>
  <c r="E21"/>
  <c r="D21"/>
  <c r="V20"/>
  <c r="R20"/>
  <c r="Q20"/>
  <c r="M20"/>
  <c r="F20"/>
  <c r="E20"/>
  <c r="D20"/>
  <c r="V19"/>
  <c r="R19"/>
  <c r="Q19"/>
  <c r="M19"/>
  <c r="F19"/>
  <c r="E19"/>
  <c r="D19"/>
  <c r="X18"/>
  <c r="X17"/>
  <c r="X16"/>
  <c r="Y17" s="1"/>
  <c r="X15"/>
  <c r="Y15" s="1"/>
  <c r="X14"/>
  <c r="Y14" s="1"/>
  <c r="X13"/>
  <c r="Y13" s="1"/>
  <c r="X12"/>
  <c r="Y12" s="1"/>
  <c r="F12"/>
  <c r="X11"/>
  <c r="Y18" s="1"/>
  <c r="X10"/>
  <c r="Y10" s="1"/>
  <c r="O10"/>
  <c r="D13" s="1"/>
  <c r="J10"/>
  <c r="E10"/>
  <c r="X9"/>
  <c r="Y9" s="1"/>
  <c r="O9"/>
  <c r="N9"/>
  <c r="K9"/>
  <c r="J9"/>
  <c r="O8"/>
  <c r="N8"/>
  <c r="K8"/>
  <c r="J8"/>
  <c r="E8"/>
  <c r="C8"/>
  <c r="V7"/>
  <c r="S7"/>
  <c r="R7"/>
  <c r="O7"/>
  <c r="N7"/>
  <c r="K7"/>
  <c r="J7"/>
  <c r="C7"/>
  <c r="V6"/>
  <c r="S6"/>
  <c r="R6"/>
  <c r="O6"/>
  <c r="N6"/>
  <c r="K6"/>
  <c r="J6"/>
  <c r="C6"/>
  <c r="G5"/>
  <c r="C5"/>
  <c r="R2"/>
  <c r="V17" l="1"/>
  <c r="D15" i="11"/>
  <c r="K21"/>
  <c r="T4" i="1"/>
  <c r="J11"/>
  <c r="T8"/>
  <c r="Y20"/>
  <c r="T7"/>
  <c r="Y11"/>
  <c r="T6" s="1"/>
  <c r="T10" l="1"/>
  <c r="G7" s="1"/>
  <c r="L9" s="1"/>
  <c r="L7" l="1"/>
  <c r="L6"/>
  <c r="L8"/>
</calcChain>
</file>

<file path=xl/sharedStrings.xml><?xml version="1.0" encoding="utf-8"?>
<sst xmlns="http://schemas.openxmlformats.org/spreadsheetml/2006/main" count="1796" uniqueCount="862">
  <si>
    <t>Name:</t>
  </si>
  <si>
    <t>Race:</t>
  </si>
  <si>
    <t>Points Spent:</t>
  </si>
  <si>
    <t>Fighter</t>
  </si>
  <si>
    <t>Class:</t>
  </si>
  <si>
    <t>Wizard</t>
  </si>
  <si>
    <t>Base Stats</t>
  </si>
  <si>
    <t>Only change light blue fields</t>
  </si>
  <si>
    <t>Starting Racial points:</t>
  </si>
  <si>
    <t/>
  </si>
  <si>
    <t>Dont change anything in these columns</t>
  </si>
  <si>
    <t>ST:</t>
  </si>
  <si>
    <t>Barehand Damage</t>
  </si>
  <si>
    <t>Weapon</t>
  </si>
  <si>
    <t>Dam</t>
  </si>
  <si>
    <t>Wt</t>
  </si>
  <si>
    <t>To Hit</t>
  </si>
  <si>
    <t>Fine / Magic</t>
  </si>
  <si>
    <t>Cost</t>
  </si>
  <si>
    <t>Str Min</t>
  </si>
  <si>
    <t>Armor</t>
  </si>
  <si>
    <t>Stops</t>
  </si>
  <si>
    <t>Dx Mod</t>
  </si>
  <si>
    <t>Magic Armor</t>
  </si>
  <si>
    <t>DX:</t>
  </si>
  <si>
    <t>Spear (thrown)</t>
  </si>
  <si>
    <t>Half plate</t>
  </si>
  <si>
    <t>IQ:</t>
  </si>
  <si>
    <t>AdjDX:</t>
  </si>
  <si>
    <t>2-handed Spear</t>
  </si>
  <si>
    <t>None</t>
  </si>
  <si>
    <t>MA:</t>
  </si>
  <si>
    <t>AdjMA:</t>
  </si>
  <si>
    <t>Natural Armor:</t>
  </si>
  <si>
    <t>Weight in Pack:</t>
  </si>
  <si>
    <t>Cloth:</t>
  </si>
  <si>
    <t>pts spent:</t>
  </si>
  <si>
    <t>(34 max depends on GM)</t>
  </si>
  <si>
    <t>Total Cost:</t>
  </si>
  <si>
    <t>Tot Armor Dx Penalty:</t>
  </si>
  <si>
    <t>Leather:</t>
  </si>
  <si>
    <t>Total Weight:</t>
  </si>
  <si>
    <t>Chain:</t>
  </si>
  <si>
    <t>Racial Ability:</t>
  </si>
  <si>
    <t>Half plate:</t>
  </si>
  <si>
    <t>Pack Belt:</t>
  </si>
  <si>
    <t>Notes &amp; Back pack: Spear thrower raises Damage to 1d+2; 2 handed spear charge damge is 2d+2; wouldn't sell a business to Mr Madera.</t>
  </si>
  <si>
    <t>Plate:</t>
  </si>
  <si>
    <t>Gold:</t>
  </si>
  <si>
    <t>Large Sheild:</t>
  </si>
  <si>
    <t>Silver:</t>
  </si>
  <si>
    <t>Tower Sheild</t>
  </si>
  <si>
    <t>XP:</t>
  </si>
  <si>
    <t>Small Sheild</t>
  </si>
  <si>
    <t>click -,- for options</t>
  </si>
  <si>
    <t>Spell</t>
  </si>
  <si>
    <t>Type</t>
  </si>
  <si>
    <t>Description</t>
  </si>
  <si>
    <t>slots</t>
  </si>
  <si>
    <t>Talent</t>
  </si>
  <si>
    <t>Explanation</t>
  </si>
  <si>
    <t>IQ Err</t>
  </si>
  <si>
    <t>Cha@24</t>
  </si>
  <si>
    <t>-,-</t>
  </si>
  <si>
    <t>shields</t>
  </si>
  <si>
    <t>Bugbear</t>
  </si>
  <si>
    <t>Misc:</t>
  </si>
  <si>
    <t>Damage:</t>
  </si>
  <si>
    <t>Uruk Hai</t>
  </si>
  <si>
    <t>2-handed sword</t>
  </si>
  <si>
    <t>Dagger</t>
  </si>
  <si>
    <t>Longbow</t>
  </si>
  <si>
    <t>Chain</t>
  </si>
  <si>
    <t>Large Shield</t>
  </si>
  <si>
    <t>Morningstar</t>
  </si>
  <si>
    <t>Myrmidon, Summoned</t>
  </si>
  <si>
    <t>Broadsword</t>
  </si>
  <si>
    <t>Reptile man</t>
  </si>
  <si>
    <t>Black Bear</t>
  </si>
  <si>
    <t>Boar, Wild</t>
  </si>
  <si>
    <t>Wolf, Summoned</t>
  </si>
  <si>
    <t>Wargs</t>
  </si>
  <si>
    <t>IQ</t>
  </si>
  <si>
    <t>Talents</t>
  </si>
  <si>
    <t>Notes</t>
  </si>
  <si>
    <t>Pre-req</t>
  </si>
  <si>
    <t>-</t>
  </si>
  <si>
    <t>Axe / Mace</t>
  </si>
  <si>
    <t>, slots:</t>
  </si>
  <si>
    <t>Bow</t>
  </si>
  <si>
    <t>Includes Sling.</t>
  </si>
  <si>
    <t>Crossbow</t>
  </si>
  <si>
    <t>Knife</t>
  </si>
  <si>
    <t>Pole Weapons</t>
  </si>
  <si>
    <t>Except Naginata</t>
  </si>
  <si>
    <t>Shield</t>
  </si>
  <si>
    <t>Sword</t>
  </si>
  <si>
    <t>Includes Knife.</t>
  </si>
  <si>
    <t>BlowGun</t>
  </si>
  <si>
    <t>Boating</t>
  </si>
  <si>
    <t>Bola</t>
  </si>
  <si>
    <t>Pre-requisite</t>
  </si>
  <si>
    <t>Thrown Weapons.</t>
  </si>
  <si>
    <t>Boomerang</t>
  </si>
  <si>
    <t>Pre-requisite</t>
  </si>
  <si>
    <t>Cestus</t>
  </si>
  <si>
    <t>Farming</t>
  </si>
  <si>
    <t>Guns</t>
  </si>
  <si>
    <t>Includes Gunpowder Weapons.</t>
  </si>
  <si>
    <t>Horsemanship</t>
  </si>
  <si>
    <t>Lasso</t>
  </si>
  <si>
    <t>Literacy</t>
  </si>
  <si>
    <t>Naginata</t>
  </si>
  <si>
    <t>Pole Arms.</t>
  </si>
  <si>
    <t>Net &amp; Trident</t>
  </si>
  <si>
    <t>Pole Weapons.</t>
  </si>
  <si>
    <t>Nunchuks</t>
  </si>
  <si>
    <t>Quarterstaff</t>
  </si>
  <si>
    <t>Running</t>
  </si>
  <si>
    <t>Seamanship</t>
  </si>
  <si>
    <t>Sex Appeal</t>
  </si>
  <si>
    <t>Sha-Ken</t>
  </si>
  <si>
    <t>Spear-Thrower</t>
  </si>
  <si>
    <t>Thrown Weapons or Pole Weapons.</t>
  </si>
  <si>
    <t>Thrown Spear/Jav: +2 dam, +4 DX</t>
  </si>
  <si>
    <t>Thrown Weapons</t>
  </si>
  <si>
    <t>Thown Weap:+2 DX</t>
  </si>
  <si>
    <t>Whip</t>
  </si>
  <si>
    <t>Swimming</t>
  </si>
  <si>
    <t>Acute Hearing</t>
  </si>
  <si>
    <t>Alertness</t>
  </si>
  <si>
    <t>Save Vs IQ:3d6</t>
  </si>
  <si>
    <t>Animal Handler</t>
  </si>
  <si>
    <t>Bard</t>
  </si>
  <si>
    <t>Charisma</t>
  </si>
  <si>
    <t>Climbing</t>
  </si>
  <si>
    <t>Detect Traps</t>
  </si>
  <si>
    <t>If taken Alert is only 1 slot</t>
  </si>
  <si>
    <t>Diving</t>
  </si>
  <si>
    <t>Swimming.</t>
  </si>
  <si>
    <t>Driver</t>
  </si>
  <si>
    <t>Missile Weapons</t>
  </si>
  <si>
    <t>Priest</t>
  </si>
  <si>
    <t>Recognize Value</t>
  </si>
  <si>
    <t>Silent Movement</t>
  </si>
  <si>
    <t>save vs Dx: 3d6</t>
  </si>
  <si>
    <t>Warrior</t>
  </si>
  <si>
    <t>Strength of 14 or better.</t>
  </si>
  <si>
    <t>'+1 Nat Armor</t>
  </si>
  <si>
    <t>Veteran</t>
  </si>
  <si>
    <t>Pre-requisites</t>
  </si>
  <si>
    <t>Strength of 16 or better and Warrior.</t>
  </si>
  <si>
    <t>'+2 Nat Armor</t>
  </si>
  <si>
    <t>Mundane 1</t>
  </si>
  <si>
    <t>Beekeeper, Butcher, Carpenter, Draper, Fisherman,Tanner.</t>
  </si>
  <si>
    <t>Mundane 2</t>
  </si>
  <si>
    <t>Baker, Brewer, Cook, Gardener, Joiner, Leatherworker, Potter, Sculptor, Vintner, Wood carver.</t>
  </si>
  <si>
    <t>Mundane 3</t>
  </si>
  <si>
    <t>Artist / Calligrapher.</t>
  </si>
  <si>
    <t>Acrobatics</t>
  </si>
  <si>
    <t>Dexterity of 12 or better.</t>
  </si>
  <si>
    <t>Armourer</t>
  </si>
  <si>
    <t>Business Sense</t>
  </si>
  <si>
    <t>Diplomacy</t>
  </si>
  <si>
    <t>Engineer</t>
  </si>
  <si>
    <t>Fencing</t>
  </si>
  <si>
    <t>Dexterity 14 or better and Sword.</t>
  </si>
  <si>
    <t>Double Dam on 7,6,5</t>
  </si>
  <si>
    <t>Mimic</t>
  </si>
  <si>
    <t>Naturalist</t>
  </si>
  <si>
    <t>New Followers</t>
  </si>
  <si>
    <t>Charisma.</t>
  </si>
  <si>
    <t>Remove Traps</t>
  </si>
  <si>
    <t>Detect Traps.</t>
  </si>
  <si>
    <t>Thief</t>
  </si>
  <si>
    <t>Incl Pick pockets</t>
  </si>
  <si>
    <t>Tracking</t>
  </si>
  <si>
    <t>Unarmed Combat I</t>
  </si>
  <si>
    <t>Pre-requisite .</t>
  </si>
  <si>
    <t>Dexterity of 13 or better</t>
  </si>
  <si>
    <t>Architect/Builder</t>
  </si>
  <si>
    <t>Courtly Graces</t>
  </si>
  <si>
    <t>Detection of Lies</t>
  </si>
  <si>
    <t>Expert Horseman</t>
  </si>
  <si>
    <t>Horsemanship.</t>
  </si>
  <si>
    <t>Goldsmith</t>
  </si>
  <si>
    <t>Recognize Value.</t>
  </si>
  <si>
    <t>Mechanician</t>
  </si>
  <si>
    <t>Includes Remove Traps.</t>
  </si>
  <si>
    <t>Monster Followers</t>
  </si>
  <si>
    <t>Physicker</t>
  </si>
  <si>
    <t>Shipbuilder</t>
  </si>
  <si>
    <t>Seamanship.</t>
  </si>
  <si>
    <t>Tactics</t>
  </si>
  <si>
    <t>Two Weapons</t>
  </si>
  <si>
    <t>Dexterity of 13 or better and talents for weapons used.</t>
  </si>
  <si>
    <t>Woodsman</t>
  </si>
  <si>
    <t>Naturalist.</t>
  </si>
  <si>
    <t>Vet</t>
  </si>
  <si>
    <t>Animal Handler.</t>
  </si>
  <si>
    <t>Assess Value</t>
  </si>
  <si>
    <t>Captain</t>
  </si>
  <si>
    <t>Expert Naturalist</t>
  </si>
  <si>
    <t>Master Armourer</t>
  </si>
  <si>
    <t>Armourer.</t>
  </si>
  <si>
    <t>Master Thief</t>
  </si>
  <si>
    <t>Thief and Dexterity of 14 or better.</t>
  </si>
  <si>
    <t>Monster Followers II</t>
  </si>
  <si>
    <t>Monster Followers I.</t>
  </si>
  <si>
    <t>Spying</t>
  </si>
  <si>
    <t>Silent Movement.</t>
  </si>
  <si>
    <t>Unarmed Combat II</t>
  </si>
  <si>
    <t>Unarmed Combat I and Dexterity of 14 or better.</t>
  </si>
  <si>
    <t>Ventriloquist</t>
  </si>
  <si>
    <t>Chemist</t>
  </si>
  <si>
    <t>Master Mechanician</t>
  </si>
  <si>
    <t>Mechanician.</t>
  </si>
  <si>
    <t>Mathematician</t>
  </si>
  <si>
    <t>Literacy.</t>
  </si>
  <si>
    <t>Scholar</t>
  </si>
  <si>
    <t>Strategist</t>
  </si>
  <si>
    <t>Tactics.</t>
  </si>
  <si>
    <t>Alchemist</t>
  </si>
  <si>
    <t>Disguise</t>
  </si>
  <si>
    <t>Master Bard</t>
  </si>
  <si>
    <t>Bard.</t>
  </si>
  <si>
    <t>Master Physicker</t>
  </si>
  <si>
    <t>Physicker.</t>
  </si>
  <si>
    <t>Theologian</t>
  </si>
  <si>
    <t>Priest.</t>
  </si>
  <si>
    <t>Unarmed Combat III</t>
  </si>
  <si>
    <t>Unarmed Combat II and Dexterity of 14 or better.</t>
  </si>
  <si>
    <t>Unarmed Combat IV</t>
  </si>
  <si>
    <t>Unarmed Combat III and Dexterity of 15 or better.</t>
  </si>
  <si>
    <t>Unarmed Combat V</t>
  </si>
  <si>
    <t>Unarmed Combat IV and Dexterity of 16 or better.</t>
  </si>
  <si>
    <t>To create a creature, set line 2 of armor to HIDE and line one of armor to None.</t>
  </si>
  <si>
    <t>Damage</t>
  </si>
  <si>
    <t>Weight</t>
  </si>
  <si>
    <t>StrMin</t>
  </si>
  <si>
    <t>Missle Y/N</t>
  </si>
  <si>
    <t>Str</t>
  </si>
  <si>
    <t>1d-1</t>
  </si>
  <si>
    <t>1d-4</t>
  </si>
  <si>
    <t>Rapier</t>
  </si>
  <si>
    <t>1d</t>
  </si>
  <si>
    <t>1d-3</t>
  </si>
  <si>
    <t>Cutlass</t>
  </si>
  <si>
    <t>2d-2</t>
  </si>
  <si>
    <t>Shortsword</t>
  </si>
  <si>
    <t>2d-1</t>
  </si>
  <si>
    <t>1d-2</t>
  </si>
  <si>
    <t>2d</t>
  </si>
  <si>
    <t>Hand and a half (1 hand)</t>
  </si>
  <si>
    <t>2d+1</t>
  </si>
  <si>
    <t>Hand and a half (2 hand)</t>
  </si>
  <si>
    <t>3d-2</t>
  </si>
  <si>
    <t>3d-1</t>
  </si>
  <si>
    <t>Great sword</t>
  </si>
  <si>
    <t>3d+1</t>
  </si>
  <si>
    <t>Club</t>
  </si>
  <si>
    <t>see STR</t>
  </si>
  <si>
    <t>1d+1</t>
  </si>
  <si>
    <t>Hatchet (thrown)</t>
  </si>
  <si>
    <t>T</t>
  </si>
  <si>
    <t>Hatchet</t>
  </si>
  <si>
    <t>Hammer</t>
  </si>
  <si>
    <t>Mace</t>
  </si>
  <si>
    <t>Small Ax (Thrown)</t>
  </si>
  <si>
    <t>1d+2</t>
  </si>
  <si>
    <t>Small Ax</t>
  </si>
  <si>
    <t>Military Pick</t>
  </si>
  <si>
    <t>Great Hammer</t>
  </si>
  <si>
    <t>2d+2</t>
  </si>
  <si>
    <t>Battle Axe</t>
  </si>
  <si>
    <t>3d</t>
  </si>
  <si>
    <t>1d+3</t>
  </si>
  <si>
    <t>Thrown Rock</t>
  </si>
  <si>
    <t>Sling</t>
  </si>
  <si>
    <t>M</t>
  </si>
  <si>
    <t>Small bow</t>
  </si>
  <si>
    <t>Horse bow</t>
  </si>
  <si>
    <t>Light crossbow</t>
  </si>
  <si>
    <t>Heavy Crossbow</t>
  </si>
  <si>
    <t>Arrows</t>
  </si>
  <si>
    <t>Crossbow Quarrels</t>
  </si>
  <si>
    <t>Sling pellets</t>
  </si>
  <si>
    <t>Cranequin</t>
  </si>
  <si>
    <t>Javelin (thrown)</t>
  </si>
  <si>
    <t>Javelin</t>
  </si>
  <si>
    <t>Spear</t>
  </si>
  <si>
    <t>Halberd</t>
  </si>
  <si>
    <t>Pike Ax</t>
  </si>
  <si>
    <t>2+2</t>
  </si>
  <si>
    <t>Trident</t>
  </si>
  <si>
    <t>Cavalry Lance</t>
  </si>
  <si>
    <t>Pike</t>
  </si>
  <si>
    <t>Quarter staff</t>
  </si>
  <si>
    <t>1+2</t>
  </si>
  <si>
    <t>Net</t>
  </si>
  <si>
    <t>notes</t>
  </si>
  <si>
    <t>varies</t>
  </si>
  <si>
    <t>4d+1</t>
  </si>
  <si>
    <t>Boomerang(thrown)</t>
  </si>
  <si>
    <t>nunchucks</t>
  </si>
  <si>
    <t>Speark Thrower</t>
  </si>
  <si>
    <t>+2</t>
  </si>
  <si>
    <t>Blow gun</t>
  </si>
  <si>
    <t>20 darts</t>
  </si>
  <si>
    <t>Torch</t>
  </si>
  <si>
    <t>table, chair</t>
  </si>
  <si>
    <t>Wizards staff</t>
  </si>
  <si>
    <t>molotail</t>
  </si>
  <si>
    <t>Gas Bomb</t>
  </si>
  <si>
    <t>5d+1</t>
  </si>
  <si>
    <t>sha-ken</t>
  </si>
  <si>
    <t>'1d-2</t>
  </si>
  <si>
    <t>grenade</t>
  </si>
  <si>
    <t>gunpower</t>
  </si>
  <si>
    <t>Claws</t>
  </si>
  <si>
    <t>x2</t>
  </si>
  <si>
    <t>Bare Hands</t>
  </si>
  <si>
    <t>per ST</t>
  </si>
  <si>
    <t>Bite</t>
  </si>
  <si>
    <t>Magic Weap 1</t>
  </si>
  <si>
    <t>Magic Weap 2</t>
  </si>
  <si>
    <t>Magic Weap 3</t>
  </si>
  <si>
    <t>Magic Weap 4</t>
  </si>
  <si>
    <t>Magic Weap 5</t>
  </si>
  <si>
    <t>Magic Weap 6</t>
  </si>
  <si>
    <t>race name</t>
  </si>
  <si>
    <t>ST</t>
  </si>
  <si>
    <t>DX</t>
  </si>
  <si>
    <t>extra</t>
  </si>
  <si>
    <t>MA</t>
  </si>
  <si>
    <t>fly</t>
  </si>
  <si>
    <t>armor</t>
  </si>
  <si>
    <t>flight</t>
  </si>
  <si>
    <t>ability</t>
  </si>
  <si>
    <t>extra stats</t>
  </si>
  <si>
    <t>At ST 18, cloth or leather armor does not slow a figure at all, or affect DX. Chainmail only gives you DX -2 and MA 8.</t>
  </si>
  <si>
    <t>No special abilities. +1 talent</t>
  </si>
  <si>
    <t>In plate or half-plate your MA remains 6, but your DX is reduced by one less than it would be for a weaker figure.</t>
  </si>
  <si>
    <t>base move is 12 no armor or cloth armor; otherwise normal</t>
  </si>
  <si>
    <t>At ST 18 or above, you can pick up items of furniture, BIG rocks, etc., and throw them for (1+1) damage - more if you're stronger and the GM permits it.</t>
  </si>
  <si>
    <t>+1 damage with axes and maces</t>
  </si>
  <si>
    <t>At ST 20, you can carry a large shield without DX adjustment, or a tower shield at DX -1.</t>
  </si>
  <si>
    <t>+3 to hit with bows and sling.</t>
  </si>
  <si>
    <t>At ST 20, you can use your foot against doors, chests, etc., as though it were a blunt weapon (1 die damage to the thing you kick, none to you).</t>
  </si>
  <si>
    <t>Bear</t>
  </si>
  <si>
    <t>Claws: 2d+2</t>
  </si>
  <si>
    <t>Claws: 2d</t>
  </si>
  <si>
    <t>At ST 24, chainmail does not slow your movement or reduce your DX — nor does a tower shield. In heavier armor your MA is 8. Half-plate gives you DX -3; plate gives you -4.</t>
  </si>
  <si>
    <t>Boar, Giant</t>
  </si>
  <si>
    <t>Boar will fight till 1d6 turns after it reaching 0 to -10 ST but dies immediately at -11 or greater ST. Size 2 Hex.  Tusks 3d6-1; will trample.</t>
  </si>
  <si>
    <t>Boar will fight till 1d6 turns after it reaching 0 to -6 ST but dies immediately at -7 or greater ST. Tusks: 2d-1. 1 Hex creature</t>
  </si>
  <si>
    <t>At ST 26, half-plate does not affect your MA, and your DX is only -2.</t>
  </si>
  <si>
    <t>Broo</t>
  </si>
  <si>
    <t>Attack: Headbut(1d6-2), weapons.  Armor: worn. 50 % chance of them being diseased or weapon diseased. Broo shaman: 1/2 IQ in spells</t>
  </si>
  <si>
    <t>6+1d6</t>
  </si>
  <si>
    <t>At ST 28, your MA is not affected by ANY armor. Plate gives you DX -2; half plate gives you DX -1.</t>
  </si>
  <si>
    <t>Mace, Hammer, HTH preferred. 1pt Hide. Talents: any but generally Combat.</t>
  </si>
  <si>
    <t>Gargoyle</t>
  </si>
  <si>
    <t>3 natural armor; fly/walk:16/8; claws as melee</t>
  </si>
  <si>
    <t>Giant</t>
  </si>
  <si>
    <t>Club: 3d+3</t>
  </si>
  <si>
    <t>Goblin</t>
  </si>
  <si>
    <t>goblins! sewer workers.</t>
  </si>
  <si>
    <t>Grizzly Bear</t>
  </si>
  <si>
    <t>Hobgoblin</t>
  </si>
  <si>
    <t>Attack: weapon; HTH.   Armor: Worn.</t>
  </si>
  <si>
    <t>Jaguar</t>
  </si>
  <si>
    <t>Bite:1d+1</t>
  </si>
  <si>
    <t>Lion</t>
  </si>
  <si>
    <t>Bite:2d</t>
  </si>
  <si>
    <t>Lizard, Giant</t>
  </si>
  <si>
    <t>Bite: 1d+3</t>
  </si>
  <si>
    <t>2d6 attack, no armor, no Shield</t>
  </si>
  <si>
    <t>name</t>
  </si>
  <si>
    <t>st</t>
  </si>
  <si>
    <t>dx</t>
  </si>
  <si>
    <t>iq</t>
  </si>
  <si>
    <t>ma</t>
  </si>
  <si>
    <t>NatArmor</t>
  </si>
  <si>
    <t>Orc</t>
  </si>
  <si>
    <t>Attacks: Weapon.  HTH:+1  Armor:Worn  Talents: rare not to have brawling and at least one weap talent.</t>
  </si>
  <si>
    <t>can use tail for second attack in rear hexes. Double Dam HTH: hands and jaws/melee</t>
  </si>
  <si>
    <t>Reptile man, Underearth</t>
  </si>
  <si>
    <t>Weaposn and Tail:1</t>
  </si>
  <si>
    <t>Sabertooth</t>
  </si>
  <si>
    <t>Bite:3d</t>
  </si>
  <si>
    <t>Sasquatch</t>
  </si>
  <si>
    <t>Hands: 1d+1</t>
  </si>
  <si>
    <t>Snake, Giant</t>
  </si>
  <si>
    <t>Hands: 1d+1. -3dx to hit snake</t>
  </si>
  <si>
    <t>Spider, Giant</t>
  </si>
  <si>
    <t>Bite:1d. Megahex. Bite is poisonous</t>
  </si>
  <si>
    <t>Troll</t>
  </si>
  <si>
    <t>Melee or HTH:2d6  1 point of regen, during upkeep.</t>
  </si>
  <si>
    <t>Attacks: Weapon.  HTH:+1  Armor:Worn  Talents:Any.  Heavy Weapons, brawling, soldier etc are common</t>
  </si>
  <si>
    <t>Walktapi</t>
  </si>
  <si>
    <t>Attack: Weapons.  Has capability of being 3 handed.</t>
  </si>
  <si>
    <t>Bite 1d+2 or Knock down</t>
  </si>
  <si>
    <t>Bite:1+1</t>
  </si>
  <si>
    <t>Spell name</t>
  </si>
  <si>
    <t>cost</t>
  </si>
  <si>
    <t>explanation</t>
  </si>
  <si>
    <t>Blur</t>
  </si>
  <si>
    <t>(T)</t>
  </si>
  <si>
    <t>[1/1]</t>
  </si>
  <si>
    <t>Subtracts 4 from DX of all attacks / spells against subject.</t>
  </si>
  <si>
    <t>Detect Magic</t>
  </si>
  <si>
    <t>[1/-]</t>
  </si>
  <si>
    <t>Directed at one item / being, tells user if the item is magic or has any spells on it. Does not identify spells.</t>
  </si>
  <si>
    <t>Drop Weapon</t>
  </si>
  <si>
    <t>Costs 2 if victims ST is 20 or more.</t>
  </si>
  <si>
    <t>Image</t>
  </si>
  <si>
    <t>(C)</t>
  </si>
  <si>
    <t>Creates a 1 hex image for 12 turns</t>
  </si>
  <si>
    <t>Light</t>
  </si>
  <si>
    <t>(T)</t>
  </si>
  <si>
    <t>[1/-]</t>
  </si>
  <si>
    <t>Makes one small item glow like a torch for one day.</t>
  </si>
  <si>
    <t>Magic Fist</t>
  </si>
  <si>
    <t>(M)</t>
  </si>
  <si>
    <t>[V/-]</t>
  </si>
  <si>
    <t>Does 1D-2 for each ST point used to cast.</t>
  </si>
  <si>
    <t>Slow Movement</t>
  </si>
  <si>
    <t>[2/1]</t>
  </si>
  <si>
    <t>Halves victims MA for 4 turns.</t>
  </si>
  <si>
    <t>Staff</t>
  </si>
  <si>
    <t>(S)</t>
  </si>
  <si>
    <t>[5/-]</t>
  </si>
  <si>
    <t>Creates a staff, does 1D damage if used in combat.</t>
  </si>
  <si>
    <t>Aid</t>
  </si>
  <si>
    <t>Temporarily adds 1 to ST, DX or IQ of the subject for each point of ST used to cast. Lasts for 2 turns.</t>
  </si>
  <si>
    <t>Avert</t>
  </si>
  <si>
    <t>The victim must end their movement at least 2 hexes further from the caster than they started, each turn the spell is on.</t>
  </si>
  <si>
    <t>Clumsiness</t>
  </si>
  <si>
    <t>Subtracts 2 from victims DX for each ST point used to cast.  Lasts for three turns.</t>
  </si>
  <si>
    <t>Confusion</t>
  </si>
  <si>
    <t>Subtracts 2 from victims IQ for each ST point used to cast.  Lasts for three turns.</t>
  </si>
  <si>
    <t>Dark Vision</t>
  </si>
  <si>
    <t>[3/-]</t>
  </si>
  <si>
    <t>Gives subject the ability to see normally, even in total dark.  Lasts for 1 hour.</t>
  </si>
  <si>
    <t>Darkness</t>
  </si>
  <si>
    <t>[V/1]</t>
  </si>
  <si>
    <t>Extinguishes all artificial lights within it's range. Range is 1MH for each ST point used to cast. Lasts for 3 turns, may be extended for 1ST per turn after the third.</t>
  </si>
  <si>
    <t>Detect Life</t>
  </si>
  <si>
    <t>[2+/-]</t>
  </si>
  <si>
    <t>Tells the caster if there are any living beings within 2 MH. Range may be increased by 1 MH for each additional ST used to cast.</t>
  </si>
  <si>
    <t>Fire</t>
  </si>
  <si>
    <t>Fills one hex with magical flame.</t>
  </si>
  <si>
    <t>Reveal Magic</t>
  </si>
  <si>
    <t>Reveals Protective spells cast by an opponent or magic items being actively used. Pre-requisite Detect Magic.</t>
  </si>
  <si>
    <t>Summon Wolf</t>
  </si>
  <si>
    <t>Brings a Wolf [ST 10, DX 14, IQ 6, MA 12, Bite 1D+1] to follow casters orders. Costs 2ST to cast, plus 1 each turn the wolf remains.</t>
  </si>
  <si>
    <t>Dazzle</t>
  </si>
  <si>
    <t>Creates a blinding psychic flash within 5 MH of the caster.</t>
  </si>
  <si>
    <t>Detect Enemies</t>
  </si>
  <si>
    <t>[3+/-]</t>
  </si>
  <si>
    <t>Picks up on beings with general or specific hostile intent. May also detect some kinds of hostile magic or traps of a magical nature.</t>
  </si>
  <si>
    <t>Far Vision</t>
  </si>
  <si>
    <t>Subject can see like a hawk for 5 minutes (60 turns).</t>
  </si>
  <si>
    <t>Lock / Knock</t>
  </si>
  <si>
    <t>[2/-]</t>
  </si>
  <si>
    <t>Used to control doors or gates, may hold them closed or open them.</t>
  </si>
  <si>
    <t>Shadow</t>
  </si>
  <si>
    <t>[1/-]</t>
  </si>
  <si>
    <t>Fills one hex with totally black shadow.</t>
  </si>
  <si>
    <t>Shock Shield</t>
  </si>
  <si>
    <t>Does 1D damage to any other creature in the subject's hex.</t>
  </si>
  <si>
    <t>Speed Movement</t>
  </si>
  <si>
    <t>Doubles MA of subject for 4 turns.</t>
  </si>
  <si>
    <t>Summon Myrmidon</t>
  </si>
  <si>
    <t>Brings a warrior [ST 12, DX 12, IQ 8, MA 10, Broadsword 2D] to follow caster's orders.</t>
  </si>
  <si>
    <t>Trailtwister</t>
  </si>
  <si>
    <t>[4/-]</t>
  </si>
  <si>
    <t>Trailtwister will confuse pursuing enemies that are not within sight. Lasts one day.</t>
  </si>
  <si>
    <t>Trip</t>
  </si>
  <si>
    <t>Knocks victim down. Cost is 4ST if victims ST is 30 or more.</t>
  </si>
  <si>
    <t>Ward</t>
  </si>
  <si>
    <t>Psychic booby-trap, upto 3 hex's. Lasts one day.</t>
  </si>
  <si>
    <t>Control Animal</t>
  </si>
  <si>
    <t>Puts any one animal under the caster's control, as long as the spell is maintained. Works only on real animals.</t>
  </si>
  <si>
    <t>Create Wall</t>
  </si>
  <si>
    <t>Creates a solid wall in 1 hex. Lasts 12 turns</t>
  </si>
  <si>
    <t>Destroy Creation</t>
  </si>
  <si>
    <t>Removes any one thing created by a creation spell. Exceptions   (1) Summoned beings.  (2) Only 1 hex of a multi-hex fire, wall or shadow.   (3) Has no effect on a multi-hex image or illusion of a living being.</t>
  </si>
  <si>
    <t>Illusion</t>
  </si>
  <si>
    <t>Creates a 1 hex illusion. Lasts 12 turns.</t>
  </si>
  <si>
    <t>Persuasiveness</t>
  </si>
  <si>
    <t>Lets subject speak convincingly. Lasts one minute, plus one minute for each additional 1 ST.</t>
  </si>
  <si>
    <t>Reveal / Conceal</t>
  </si>
  <si>
    <t>[2/V]</t>
  </si>
  <si>
    <t>Multi-purpose spell used a) to find a hidden object, b) to hide some object, c) to hide spells on an item, d) to make hidden spells easier to find. Reveal always costs 2ST. Conceal costs 2ST for the first, then double for each additional spell upto five. ie. 2, 4, 8, 16, 32.</t>
  </si>
  <si>
    <t>Reverse Missiles</t>
  </si>
  <si>
    <t>Causes any missile spells, missile or thrown weapons aimed at the subject to turn against the one who fired them instead.</t>
  </si>
  <si>
    <t>Rope</t>
  </si>
  <si>
    <t>Creates a magical rope to entangle a victim, halving their MA and reducing DX. Not effective against creatures with a ST of 20 or more. Lasts 12 turns, or until removed.</t>
  </si>
  <si>
    <t>Lets subject walk, run, climb, etc. totally noiselessly.</t>
  </si>
  <si>
    <t>Sleep</t>
  </si>
  <si>
    <t>Puts a victim to sleep until they awake naturally or are awakened.</t>
  </si>
  <si>
    <t>Staff to Snake</t>
  </si>
  <si>
    <t>Lets caster turn his own staff into a small snake. Lasts 6 turns. [ST 8, DX 13, IQ 4, MA 6, Bite 1D-1. DX -2 to hit] Pre-requisite STAFF</t>
  </si>
  <si>
    <t>Summon Bear</t>
  </si>
  <si>
    <t>[4/1]</t>
  </si>
  <si>
    <t>Brings a bear [ST 30, DX 11, IQ 6, MA 8, Bite 2D+2] to follow caster's orders.</t>
  </si>
  <si>
    <t>3-hex Fire</t>
  </si>
  <si>
    <t>Like the Fire Spell, but covering up to 3 connected hexes.</t>
  </si>
  <si>
    <t>3-Hex Shadow</t>
  </si>
  <si>
    <t>Like the Shadow Spell, but covering up to 3 connected hexes.</t>
  </si>
  <si>
    <t>Analyse Magic</t>
  </si>
  <si>
    <t>This spell tells the wizard the exact nature of the enchantment on any one object.</t>
  </si>
  <si>
    <t>Blast</t>
  </si>
  <si>
    <t>Does 1D damage to every creature in the wizards hex or adjacent to it, except the wizard.</t>
  </si>
  <si>
    <t>Break Weapon</t>
  </si>
  <si>
    <t>Shatters one weapon, shield, staff etc. in the hands of a foe.</t>
  </si>
  <si>
    <t>Drain Strength</t>
  </si>
  <si>
    <t>[0/-]</t>
  </si>
  <si>
    <t>Lets the wizard drain life force from others into himself or his friends. No ST cost - but each 5 ST drained gives only 1ST to the recipiant.</t>
  </si>
  <si>
    <t>Eyes-Behind</t>
  </si>
  <si>
    <t>[3/1]</t>
  </si>
  <si>
    <t>Improves the peripheral vision and coordination of a subject.</t>
  </si>
  <si>
    <t>Fireball</t>
  </si>
  <si>
    <t>Does 1D-1 Damage for each ST point the wixard putsinto it.</t>
  </si>
  <si>
    <t>Freeze</t>
  </si>
  <si>
    <t>Totally freezes victim for 2 to 12 turns.</t>
  </si>
  <si>
    <t>Invisibility</t>
  </si>
  <si>
    <t>Makes the subject invisible.</t>
  </si>
  <si>
    <t>Mage Sight</t>
  </si>
  <si>
    <t>Allows its subject to see objects concealed by blur, invisibility, shadow, or ordinary darkness.</t>
  </si>
  <si>
    <t>Magic Rainstorm</t>
  </si>
  <si>
    <t>Creates a storm one megahex in size. lasts 12 turns. Puts out all fires real &amp; magical. Fireballs, lightning &amp; dragon fire cannot pass through it.</t>
  </si>
  <si>
    <t>Repair</t>
  </si>
  <si>
    <t>[6/-]</t>
  </si>
  <si>
    <t>This spell will magically repair any simple item of weight less than 2Kg. This spell will not repair a complicated machine, it just joins simple breaks.</t>
  </si>
  <si>
    <t>3-Hex Wall</t>
  </si>
  <si>
    <t>Like the Create Wall spell (IQ 11) but affecting any 3 connected hexes. Lasts 12 turns.</t>
  </si>
  <si>
    <t>4-Hex Image</t>
  </si>
  <si>
    <t>Lets the caster create an image of anything no greater than 4 hexes in size. lasts for 12 turns. Pre-requisite Image.</t>
  </si>
  <si>
    <t>Control Elemental</t>
  </si>
  <si>
    <t>Puts any one elemental under caster's control as long as the spell is maintained. ST cost to caster 3 plus 1 every minute (12 turns) the spell is maintained after the first. If the elemental has a ST of 30 or more, double  the cost.</t>
  </si>
  <si>
    <t>Control Person</t>
  </si>
  <si>
    <t>Puts any one human or humanoid under the caster's control for as long as the spell is maintained. Target of the spell gets a 3D save against their IQ.</t>
  </si>
  <si>
    <t>Curse</t>
  </si>
  <si>
    <t>The Curse is a general foul-up spell cast at one individual. For every 2 ST the caster puts into the curse, EVERY die roll the victim makes is increased by 1 if the victim wanted to roll low, or decreased by 1 if he wanted to roll high. The Curse lasts until removed by a Remove Thrown Spells.</t>
  </si>
  <si>
    <t>Fireproofing</t>
  </si>
  <si>
    <t>Makes its subject immune to all effects of all kinds of fire and flame. Clothes and things carried will also be unaffected. Costs 3 ST to cast, plus 1 per turn to maintain, for each hex of size of the subject.</t>
  </si>
  <si>
    <t>Flight</t>
  </si>
  <si>
    <t>Lets subject fly. A creature flying by this spell has a MA of 12.</t>
  </si>
  <si>
    <t>Open Tunnel</t>
  </si>
  <si>
    <t>[10/-]</t>
  </si>
  <si>
    <t>Turns one hex of rock (or any other material) into air. The effect of this spell is permanent.</t>
  </si>
  <si>
    <t>Slippery Floor</t>
  </si>
  <si>
    <t>[3/-</t>
  </si>
  <si>
    <t>Makes the floor over one megahex extremely slick. Lasts 12 turns.</t>
  </si>
  <si>
    <t>Sticky Floor</t>
  </si>
  <si>
    <t>Makes an area of floor one megahex in size magically sticky. Any figure entering an area of sticky floor stops immediately. Each turn thereafter their MA is reduced to 1. Lasts for 12 turns.</t>
  </si>
  <si>
    <t>Stone Flesh</t>
  </si>
  <si>
    <t>Gives the subject's body the power to act as armour, stopping 4 hits per attack.</t>
  </si>
  <si>
    <t>Stop</t>
  </si>
  <si>
    <t>The victim of this spell has a MA of zero for the next four turns.They may do anything else but may not move to another hex under any circumnstances.</t>
  </si>
  <si>
    <t>Summon Gargoyle</t>
  </si>
  <si>
    <t>Brings a Gargoyle [ST 20, DX 11, IQ 8, MA 8/16 Fist does 2D]</t>
  </si>
  <si>
    <t>Telekinesis</t>
  </si>
  <si>
    <t>[2/2]</t>
  </si>
  <si>
    <t>Lets the caster move objects by the force of his mind. The caster may do anything with TK that he could do if his own body were there. The object manipulated must be where he can see it.</t>
  </si>
  <si>
    <t>4-Hex Illusion</t>
  </si>
  <si>
    <t>Lets caster create any illusion no greater than 4 hexes in size. Lasts for 12 turns. Pre-requisite Illusion</t>
  </si>
  <si>
    <t>Dispell Illusions</t>
  </si>
  <si>
    <t>Causes all illusions within 5 megahexes of the casters own megahex to vanish immediately.</t>
  </si>
  <si>
    <t>Explosive Gem</t>
  </si>
  <si>
    <t>[?/-]</t>
  </si>
  <si>
    <t>Spell list incomplete.</t>
  </si>
  <si>
    <t>Fresh Air</t>
  </si>
  <si>
    <t>The subject of the spell can breathe normally, regardless of where they are.</t>
  </si>
  <si>
    <t>Glamour</t>
  </si>
  <si>
    <t>This is a special sort of illusion. A Glamour is a magical diguise, it is cast over some living creature to make it appear as other than what it is. It lasts until removed by a Remove Thrown Spells, or the caster wills it away.</t>
  </si>
  <si>
    <t>Lightning</t>
  </si>
  <si>
    <t>An electrical discharge, it does 1D of damage for each ST point the wizard puts into it.</t>
  </si>
  <si>
    <t>Remove Thrown Spell</t>
  </si>
  <si>
    <t>(T)</t>
  </si>
  <si>
    <t>Negates the effect of any thrown spell.</t>
  </si>
  <si>
    <t>Spell Shield</t>
  </si>
  <si>
    <t>Prevents any spells from being cast on its subject.</t>
  </si>
  <si>
    <t>Summon Giant</t>
  </si>
  <si>
    <t>Brings a Giant to follow casters orders. Giant [ST 30, DX 9, IQ 8, MA 8, no armour, club does 3D+3.]</t>
  </si>
  <si>
    <t>Summon Lesser Demon</t>
  </si>
  <si>
    <t>[20/-]</t>
  </si>
  <si>
    <t>Allows the caster to summon a minor demon, who will perform one service for him, or fight for 12 turns. Demon [ST 50, DX 13, IQ 16, MA infinite. Skin stops 3 hits, Hands 2D]</t>
  </si>
  <si>
    <t>Telepathy</t>
  </si>
  <si>
    <t>Lets the caster read the mind of one subject.</t>
  </si>
  <si>
    <t>Weapon/Armour Enchantment</t>
  </si>
  <si>
    <t>[See Creating Magical Items]</t>
  </si>
  <si>
    <t>Sheild</t>
  </si>
  <si>
    <t>Max MA</t>
  </si>
  <si>
    <t>DexMod</t>
  </si>
  <si>
    <t>stops</t>
  </si>
  <si>
    <t>wt</t>
  </si>
  <si>
    <t>Dex Mod</t>
  </si>
  <si>
    <t>Cloth</t>
  </si>
  <si>
    <t>Pack on Back</t>
  </si>
  <si>
    <t>Leather</t>
  </si>
  <si>
    <t>Small Shield</t>
  </si>
  <si>
    <t>Spike Shield</t>
  </si>
  <si>
    <t>Plate</t>
  </si>
  <si>
    <t>Tower Shield</t>
  </si>
  <si>
    <t>Fine Plate</t>
  </si>
  <si>
    <t>Hide</t>
  </si>
  <si>
    <t>~</t>
  </si>
  <si>
    <t>8,Running</t>
  </si>
  <si>
    <t>9,Missile Weapons</t>
  </si>
  <si>
    <t>Talent Slots:</t>
  </si>
  <si>
    <t>Minion Makers</t>
  </si>
  <si>
    <t>Weap:</t>
  </si>
  <si>
    <t>Def:</t>
  </si>
  <si>
    <t>HP:</t>
  </si>
  <si>
    <t>#1</t>
  </si>
  <si>
    <t>#2</t>
  </si>
  <si>
    <t>#3</t>
  </si>
  <si>
    <t>#4</t>
  </si>
  <si>
    <t>#5</t>
  </si>
  <si>
    <t>#6</t>
  </si>
  <si>
    <t>#7</t>
  </si>
  <si>
    <t>#8</t>
  </si>
  <si>
    <t>#9</t>
  </si>
  <si>
    <t>#10</t>
  </si>
  <si>
    <t>Def</t>
  </si>
  <si>
    <t>Tot Def:</t>
  </si>
  <si>
    <t>My Minion Sheet</t>
  </si>
  <si>
    <t>Total def:</t>
  </si>
  <si>
    <t>Skeleton</t>
  </si>
  <si>
    <t>Attacks: Weapon or HTH Armor: None or worn</t>
  </si>
  <si>
    <t>Ant, Worker</t>
  </si>
  <si>
    <t>Ant, Warrior</t>
  </si>
  <si>
    <t>Ant, Queen</t>
  </si>
  <si>
    <t>Ape, Great</t>
  </si>
  <si>
    <t>Ape, White</t>
  </si>
  <si>
    <t>Basilisk</t>
  </si>
  <si>
    <t>Bats, Dire</t>
  </si>
  <si>
    <t>Bats, Vampire</t>
  </si>
  <si>
    <t>Bear, Black/Brown</t>
  </si>
  <si>
    <t>Bear, Grizzly</t>
  </si>
  <si>
    <t>Bear, Cave</t>
  </si>
  <si>
    <t>Beetle, Fire</t>
  </si>
  <si>
    <t>Beetle, Striped</t>
  </si>
  <si>
    <t>Beetle, STone</t>
  </si>
  <si>
    <t>Black Dog</t>
  </si>
  <si>
    <t xml:space="preserve">Centaur </t>
  </si>
  <si>
    <t>Centipede, Giant</t>
  </si>
  <si>
    <t>Centipede, Dire</t>
  </si>
  <si>
    <t>Dog, Blood Hound</t>
  </si>
  <si>
    <t>Dog, Brachet</t>
  </si>
  <si>
    <t>Dog, Domestic</t>
  </si>
  <si>
    <t>Dog, Mastiff</t>
  </si>
  <si>
    <t>Dog, Wolf hound</t>
  </si>
  <si>
    <t>Dragon, Young</t>
  </si>
  <si>
    <t>Dragon, Adult</t>
  </si>
  <si>
    <t>Dragon, Ancient</t>
  </si>
  <si>
    <t>Dwarf, Hill</t>
  </si>
  <si>
    <t>Dwarf, Mountain</t>
  </si>
  <si>
    <t>Eagle, Giant</t>
  </si>
  <si>
    <t>30-50</t>
  </si>
  <si>
    <t>Void, Minor elemental</t>
  </si>
  <si>
    <t>Elf, Wood</t>
  </si>
  <si>
    <t>Elf, Grau</t>
  </si>
  <si>
    <t>Frobat</t>
  </si>
  <si>
    <t>Frog, Giant</t>
  </si>
  <si>
    <t>Frog, Dire</t>
  </si>
  <si>
    <t>Ghoul</t>
  </si>
  <si>
    <t>Giant, Hill</t>
  </si>
  <si>
    <t>Giant, Mountain</t>
  </si>
  <si>
    <t>Gnoll</t>
  </si>
  <si>
    <t>Goblin, Mountain</t>
  </si>
  <si>
    <t>Grox</t>
  </si>
  <si>
    <t>Grumman</t>
  </si>
  <si>
    <t>Gryphon</t>
  </si>
  <si>
    <t>Halfling</t>
  </si>
  <si>
    <t>Horse</t>
  </si>
  <si>
    <t>Howler</t>
  </si>
  <si>
    <t>Human, Peasant</t>
  </si>
  <si>
    <t>Human, Merchant</t>
  </si>
  <si>
    <t>Human, Soldier/Guard</t>
  </si>
  <si>
    <t>Human, Theif</t>
  </si>
  <si>
    <t>Human, Wizard</t>
  </si>
  <si>
    <t>Human Cultist</t>
  </si>
  <si>
    <t>Hydra, 4 head</t>
  </si>
  <si>
    <t>Hydra, 7 head</t>
  </si>
  <si>
    <t>Kobold</t>
  </si>
  <si>
    <t>Lion, Mountain</t>
  </si>
  <si>
    <t>Lizard, Men</t>
  </si>
  <si>
    <t>Lizard, Riding</t>
  </si>
  <si>
    <t>Metal Men</t>
  </si>
  <si>
    <t>Neanderthals</t>
  </si>
  <si>
    <t>Octo/Walktapi</t>
  </si>
  <si>
    <t>Ogre</t>
  </si>
  <si>
    <t>Pegasus</t>
  </si>
  <si>
    <t>Rats</t>
  </si>
  <si>
    <t>Rat, Giant</t>
  </si>
  <si>
    <t>Scabbers</t>
  </si>
  <si>
    <t>Scorpion</t>
  </si>
  <si>
    <t>Scorpion, Giant</t>
  </si>
  <si>
    <t>Serpent Men</t>
  </si>
  <si>
    <t>Slime, Brown</t>
  </si>
  <si>
    <t>Slime, Green</t>
  </si>
  <si>
    <t>Slime, Red</t>
  </si>
  <si>
    <t>Snake poisonous</t>
  </si>
  <si>
    <t>Spiders</t>
  </si>
  <si>
    <t>Tiger</t>
  </si>
  <si>
    <t>Tiger, Sabertooth</t>
  </si>
  <si>
    <t>Wasps,Giant</t>
  </si>
  <si>
    <t>Wight</t>
  </si>
  <si>
    <t>Wolf</t>
  </si>
  <si>
    <t>Wolf, Dire</t>
  </si>
  <si>
    <t>Wyvern</t>
  </si>
  <si>
    <t>Zombies</t>
  </si>
  <si>
    <t>1d6+1</t>
  </si>
  <si>
    <t>1-4: Worker, 5-6 Warrior</t>
  </si>
  <si>
    <t>2d6</t>
  </si>
  <si>
    <t>PS</t>
  </si>
  <si>
    <t>lair x3</t>
  </si>
  <si>
    <t>pouch, if in lair</t>
  </si>
  <si>
    <t>pouch</t>
  </si>
  <si>
    <t>1d6 bite</t>
  </si>
  <si>
    <t>FS</t>
  </si>
  <si>
    <t>Lair</t>
  </si>
  <si>
    <t>4ft - 6ft long 8 leggedlizard. Forrests Grasslands and jungles. Each time it sits still it may paralyze an opponent with its gaze. This power acts like a freeze spellwith a 4/EN resistance. It lasts till the Basilisk is killed or dispel magic is cast.</t>
  </si>
  <si>
    <t>1pt</t>
  </si>
  <si>
    <t>1d6</t>
  </si>
  <si>
    <t>Base damage +1pt per round. 3/ST to remove bat. Will fly away once victim is dead. Dead victim becomes (d6) 3-15:nothing.  16:Zombie 17:Ghoul 18:Vampire</t>
  </si>
  <si>
    <t>1d6 Bite; 2d6 Claws</t>
  </si>
  <si>
    <t>Bear fur brigns 100 coin</t>
  </si>
  <si>
    <t>2d6+2</t>
  </si>
  <si>
    <t>Ferocious; does not fear humans</t>
  </si>
  <si>
    <t>3d6+1</t>
  </si>
  <si>
    <t>Lair x2</t>
  </si>
  <si>
    <t>BR</t>
  </si>
  <si>
    <t>carapace armor 2 ft long. Glowing eyes and abdomen. excrete 5ft area 1x day</t>
  </si>
  <si>
    <t>1d6+2</t>
  </si>
  <si>
    <t>carapace armor. 4ft long. If not moving difficult to spot (4/IQ). Kobolds sometimes use them as mounts.</t>
  </si>
  <si>
    <t>carapace armor</t>
  </si>
  <si>
    <t>FT</t>
  </si>
  <si>
    <t xml:space="preserve">Spectral hounds that haunt lonly hills, moors, and forrests. Massive, larger than wolves. </t>
  </si>
  <si>
    <t>Bite with Tusks. Tough hide</t>
  </si>
  <si>
    <t xml:space="preserve">Mace, Hammer, HTH preferred. 1pt Hide. Talents: any but generally Combat. </t>
  </si>
  <si>
    <t>1d6+1; or +1 weapons</t>
  </si>
  <si>
    <t>Pouch, Pack, Chest</t>
  </si>
  <si>
    <t>Damage or by weapons. Centaur weapons deal +1 damage.</t>
  </si>
  <si>
    <t>1pt damage but requires 3/ST save, or +1d6 damage</t>
  </si>
  <si>
    <t>6ft long, 1ft wide. Sewers, deep jungles, swamps. Love human meat</t>
  </si>
  <si>
    <t>1d6-1</t>
  </si>
  <si>
    <t xml:space="preserve">Trip or knockdown </t>
  </si>
  <si>
    <t>FT,BW</t>
  </si>
  <si>
    <t>Lair x4</t>
  </si>
  <si>
    <t>Dragons can make up to 3 attacks per turn, chosing 1 time per turn from the following: Breath weapon, claws, bite, and tail. One attack must always be with the tail</t>
  </si>
  <si>
    <t>3d6</t>
  </si>
  <si>
    <t>Lair x8</t>
  </si>
  <si>
    <t>4d6</t>
  </si>
  <si>
    <t>Lair x12</t>
  </si>
  <si>
    <t>1d6+1; or weapon</t>
  </si>
  <si>
    <t>Pocket, Pouch, Chest</t>
  </si>
  <si>
    <t>Leather Equiv armor / dx rating</t>
  </si>
  <si>
    <t>Pouchx2, Chest</t>
  </si>
  <si>
    <t>2d (peck); 3d1 claw,grapple</t>
  </si>
  <si>
    <t>IA</t>
  </si>
  <si>
    <t>BF</t>
  </si>
  <si>
    <t>BW</t>
  </si>
  <si>
    <t>MO</t>
  </si>
  <si>
    <t>1d6; or weapon</t>
  </si>
  <si>
    <t>Cloth Equiv armor / dx rating</t>
  </si>
  <si>
    <t>Underground Elves. Cloth Equiv armor / dx rating</t>
  </si>
  <si>
    <t>Purple black toad, with faux wings like flying fish. Climb trees and glide. Blood drinkers. Valued by some witches and alchemists</t>
  </si>
  <si>
    <t>Tounge/Entangle</t>
  </si>
  <si>
    <t>PA</t>
  </si>
  <si>
    <t>Up to 6ft tall, their tongues lash out up to 10 feet and if struck hero must pass 3/ST to avoid becoming paralyzed</t>
  </si>
  <si>
    <t>Pocket</t>
  </si>
  <si>
    <t>2d6+3</t>
  </si>
  <si>
    <t>Pouch x3, Chest</t>
  </si>
  <si>
    <t>up to 15ft in height, they use Clubs and fur</t>
  </si>
  <si>
    <t>3d6+2</t>
  </si>
  <si>
    <t>Pack x2, Chest x4</t>
  </si>
  <si>
    <t>They stand 20ft to 25ft tall, and avoid humans except to drive them off their territory. they wear armor, craft weapoons and dream of the day they will rule the world again.</t>
  </si>
  <si>
    <t>5 to 6ft dog-men. Peasants and unitiated  must pass a 3/IQ or lose 1 turn of action. Ambush and pack tactics. They prefer bows and daggers. Leather Equiv armor / dx rating</t>
  </si>
  <si>
    <t>Pocket, Chest</t>
  </si>
  <si>
    <t>Grey green, red eyes &amp; sharp teeth. Dark sight 60ft. When exposed to daylight equivolent all tests are +1 die.  Cloth Equiv armor / dx rating</t>
  </si>
  <si>
    <t>Pouch</t>
  </si>
  <si>
    <t>Goat men. Raid human settlements, found in forrests, hills and mountains. A growing threat. Cloth Equiv armor / dx rating</t>
  </si>
  <si>
    <t>Pouch x2</t>
  </si>
  <si>
    <t>2d6+1</t>
  </si>
  <si>
    <t>Pocket x2, Chest</t>
  </si>
  <si>
    <t>Pocket x2, Pouch x3, Chest</t>
  </si>
  <si>
    <t>2d6-1</t>
  </si>
  <si>
    <t>Pocket, Pouch</t>
  </si>
  <si>
    <t>Wizard knows 1 spell from each: 8, 9, 10, 11 IQ lvls</t>
  </si>
  <si>
    <t>Pouch, Chest</t>
  </si>
  <si>
    <t>Cloth Equiv armor / dx rating.  Cultist knows 1 spell from each: 8, 9 lvls</t>
  </si>
  <si>
    <t>FT, PS</t>
  </si>
  <si>
    <t>1d6+3</t>
  </si>
  <si>
    <t>Lair x3</t>
  </si>
  <si>
    <t>Cloth Equiv armor / dx rating. For every 20 kobolds, 2 will know lvl 8 spells</t>
  </si>
  <si>
    <t>When stalking its prey it is 4/IQ to detect</t>
  </si>
  <si>
    <t>Pouch, Lair</t>
  </si>
  <si>
    <t>2d6 bite, 1d6 claw</t>
  </si>
  <si>
    <t>15 to 30ft beasts very fond of human meat</t>
  </si>
  <si>
    <t>1d6+2 bite, 1d6 claw</t>
  </si>
  <si>
    <t>8 to 10ft, traverse difficult terrain and hardy.</t>
  </si>
  <si>
    <t>Pouch, Lair x2</t>
  </si>
  <si>
    <t>3 attacks per turn, or 2 and sheild.</t>
  </si>
  <si>
    <t>Pouch x2, Lair</t>
  </si>
  <si>
    <t>Fearless, attack aggressively, love the taste of meat. Titans created them to root elves out of the forrests! Hazzah!</t>
  </si>
  <si>
    <t>1 in 4 have plague.  roll 4/EN to survive</t>
  </si>
  <si>
    <t>Blood fever, 3/ST if fale, the target develops a fever making all tests +1 die until cured</t>
  </si>
  <si>
    <t>known to carry diseases, a successful hit requires a 3/ST test or take +1d6 damage. Use weapons, armor and 1 in 18 will know a few spells.</t>
  </si>
  <si>
    <t>can pinch for 1 point of damage or may sting with its tail. Save 3/ST or take 1d6-1 from poison</t>
  </si>
  <si>
    <t>Pouch, Pack, Lair x2</t>
  </si>
  <si>
    <t xml:space="preserve">They use swords or bows but can bite an opponent for 2d6 dam. If bitten thetarget must pass 3/ST or suffer +1d6 damage from poison.  There are rumors of secret alliance between lizard Men and Serpent Men. </t>
  </si>
  <si>
    <t>FT,IA</t>
  </si>
  <si>
    <t>Immune to arrows and bolt. Armor and weaps. Skeleton Lords or those powered by strange magic crystals</t>
  </si>
  <si>
    <t>1pt/turn</t>
  </si>
  <si>
    <t>PS,ND</t>
  </si>
  <si>
    <t>2 pt/turn</t>
  </si>
  <si>
    <t>PA,MO</t>
  </si>
  <si>
    <t>rare and reasome, 20 to 60ft</t>
  </si>
  <si>
    <t>critter does 1pt, but you must pass 3/ST or take 1d6 additional dam from poison</t>
  </si>
  <si>
    <t>PS,WB</t>
  </si>
  <si>
    <t>Uman sized insects, Goblins have been know to use them as mounts</t>
  </si>
  <si>
    <t>12ft long with huge fangs. Skin wiorth up to 800 coins</t>
  </si>
  <si>
    <t>FT,HL</t>
  </si>
  <si>
    <t>ST 30-50. Regen 2 ST per turn. Fire damage is permanent</t>
  </si>
  <si>
    <t>If killed by a wight, the dead arisses in 1d6 hours as a wight. Found by graveyards or by their site of death</t>
  </si>
  <si>
    <t>Fur is worth 50 coin. Hobgoblins and orcs favor them as hunting dogs</t>
  </si>
  <si>
    <t>Favored by goblins and other smal humanoids as mounts and traveling in packs. Attack small humanoid settlements and caravans which pass through their lands</t>
  </si>
  <si>
    <t>FT,PS</t>
  </si>
  <si>
    <t>Tail of wyvern is like a scorpions and does 1d6 damage and requires 3/ST or take additional +1d6 poison damage</t>
  </si>
  <si>
    <t>If killed by a zombie there is a 3 in 6 chance of turing into a zombie daily unless body is burned</t>
  </si>
  <si>
    <t>a</t>
  </si>
  <si>
    <t>b</t>
  </si>
  <si>
    <t>c</t>
  </si>
  <si>
    <t>lookup elementals in TFT</t>
  </si>
  <si>
    <t>0,Choose race</t>
  </si>
  <si>
    <t>1,Human</t>
  </si>
  <si>
    <t>2,Elf</t>
  </si>
  <si>
    <t>3,Dwarf</t>
  </si>
  <si>
    <t>4,Halfing</t>
  </si>
  <si>
    <t>sort ver</t>
  </si>
  <si>
    <t>Elemental Earth, Minor</t>
  </si>
  <si>
    <t xml:space="preserve">Elemental Fire, Minor </t>
  </si>
  <si>
    <t>Elemental Water, Minor</t>
  </si>
  <si>
    <t>Elemental Air, Minor</t>
  </si>
  <si>
    <t>You can spend more in the stat section.         *Blue stats override default stats</t>
  </si>
  <si>
    <t>7,Pole Weapons</t>
  </si>
  <si>
    <t>9,Silent Movement</t>
  </si>
  <si>
    <t>8,Thrown Weapons</t>
  </si>
  <si>
    <t>7,Bow</t>
  </si>
  <si>
    <t>Dam w/Dagger</t>
  </si>
  <si>
    <t>8,Quarterstaff</t>
  </si>
  <si>
    <t>11,Create Wall</t>
  </si>
  <si>
    <t>8,Image</t>
  </si>
  <si>
    <t>9,Warrior</t>
  </si>
  <si>
    <t>7,Shield</t>
  </si>
  <si>
    <t>Talented Character 20Aug2013 TFTSheet</t>
  </si>
</sst>
</file>

<file path=xl/styles.xml><?xml version="1.0" encoding="utf-8"?>
<styleSheet xmlns="http://schemas.openxmlformats.org/spreadsheetml/2006/main">
  <fonts count="39">
    <font>
      <sz val="10"/>
      <color rgb="FF000000"/>
      <name val="Arial"/>
    </font>
    <font>
      <sz val="9"/>
      <color rgb="FF000000"/>
      <name val="Georgia"/>
    </font>
    <font>
      <sz val="10"/>
      <color rgb="FF000000"/>
      <name val="Georgia"/>
    </font>
    <font>
      <sz val="10"/>
      <color rgb="FF000000"/>
      <name val="Georgia"/>
    </font>
    <font>
      <sz val="9"/>
      <color rgb="FF000000"/>
      <name val="Georgia"/>
    </font>
    <font>
      <sz val="9"/>
      <color rgb="FF000000"/>
      <name val="Georgia"/>
    </font>
    <font>
      <sz val="9"/>
      <color rgb="FF000000"/>
      <name val="Georgia"/>
    </font>
    <font>
      <sz val="9"/>
      <color rgb="FF000000"/>
      <name val="Georgia"/>
    </font>
    <font>
      <sz val="9"/>
      <color rgb="FF000000"/>
      <name val="Georgia"/>
    </font>
    <font>
      <sz val="10"/>
      <color rgb="FF000000"/>
      <name val="Georgia"/>
    </font>
    <font>
      <sz val="9"/>
      <color rgb="FF000000"/>
      <name val="Georgia"/>
    </font>
    <font>
      <sz val="9"/>
      <color rgb="FF000000"/>
      <name val="Arial"/>
    </font>
    <font>
      <sz val="9"/>
      <color rgb="FF000000"/>
      <name val="Georgia"/>
    </font>
    <font>
      <sz val="9"/>
      <color rgb="FF000000"/>
      <name val="Georgia"/>
    </font>
    <font>
      <sz val="9"/>
      <color rgb="FF000000"/>
      <name val="Georgia"/>
    </font>
    <font>
      <sz val="9"/>
      <color rgb="FF000000"/>
      <name val="Georgia"/>
    </font>
    <font>
      <sz val="9"/>
      <color rgb="FF000000"/>
      <name val="Arial"/>
    </font>
    <font>
      <sz val="9"/>
      <color rgb="FF000000"/>
      <name val="Georgia"/>
    </font>
    <font>
      <sz val="9"/>
      <color rgb="FF000000"/>
      <name val="Georgia"/>
    </font>
    <font>
      <sz val="8"/>
      <color rgb="FF000000"/>
      <name val="Arial"/>
      <family val="2"/>
    </font>
    <font>
      <sz val="8"/>
      <color rgb="FF000000"/>
      <name val="Georgia"/>
      <family val="1"/>
    </font>
    <font>
      <sz val="8"/>
      <color rgb="FFCFE2F3"/>
      <name val="Georgia"/>
      <family val="1"/>
    </font>
    <font>
      <sz val="8"/>
      <color rgb="FF274E13"/>
      <name val="Georgia"/>
      <family val="1"/>
    </font>
    <font>
      <b/>
      <sz val="8"/>
      <color rgb="FF000000"/>
      <name val="Times New Roman"/>
      <family val="1"/>
    </font>
    <font>
      <sz val="8"/>
      <color rgb="FF000000"/>
      <name val="Times New Roman"/>
      <family val="1"/>
    </font>
    <font>
      <sz val="8"/>
      <color rgb="FF274E13"/>
      <name val="Times New Roman"/>
      <family val="1"/>
    </font>
    <font>
      <sz val="8"/>
      <color rgb="FF38761D"/>
      <name val="Times New Roman"/>
      <family val="1"/>
    </font>
    <font>
      <sz val="8"/>
      <color rgb="FF000000"/>
      <name val="Calibri"/>
      <family val="2"/>
      <scheme val="minor"/>
    </font>
    <font>
      <i/>
      <sz val="8"/>
      <color rgb="FF000000"/>
      <name val="Calibri"/>
      <family val="2"/>
      <scheme val="minor"/>
    </font>
    <font>
      <sz val="22"/>
      <color rgb="FF000000"/>
      <name val="Georgia"/>
      <family val="1"/>
    </font>
    <font>
      <sz val="9"/>
      <color rgb="FF000000"/>
      <name val="Times New Roman"/>
      <family val="1"/>
    </font>
    <font>
      <sz val="9"/>
      <color rgb="FF000000"/>
      <name val="Georgia"/>
      <family val="1"/>
    </font>
    <font>
      <sz val="8"/>
      <color theme="9"/>
      <name val="Georgia"/>
      <family val="1"/>
    </font>
    <font>
      <sz val="10"/>
      <color rgb="FF000000"/>
      <name val="Arial"/>
      <family val="2"/>
    </font>
    <font>
      <sz val="7.5"/>
      <color rgb="FF000000"/>
      <name val="Arial"/>
      <family val="2"/>
    </font>
    <font>
      <sz val="8"/>
      <color rgb="FF274E13"/>
      <name val="Calibri"/>
      <family val="2"/>
      <scheme val="minor"/>
    </font>
    <font>
      <sz val="8"/>
      <color rgb="FFCC0000"/>
      <name val="Georgia"/>
      <family val="1"/>
    </font>
    <font>
      <sz val="10"/>
      <color rgb="FF000000"/>
      <name val="Georgia"/>
      <family val="1"/>
    </font>
    <font>
      <sz val="8"/>
      <color rgb="FFFF0000"/>
      <name val="Georgia"/>
      <family val="1"/>
    </font>
  </fonts>
  <fills count="153">
    <fill>
      <patternFill patternType="none"/>
    </fill>
    <fill>
      <patternFill patternType="gray125"/>
    </fill>
    <fill>
      <patternFill patternType="solid">
        <fgColor rgb="FFFFCC99"/>
        <bgColor indexed="64"/>
      </patternFill>
    </fill>
    <fill>
      <patternFill patternType="solid">
        <fgColor rgb="FFFFCC99"/>
        <bgColor indexed="64"/>
      </patternFill>
    </fill>
    <fill>
      <patternFill patternType="solid">
        <fgColor rgb="FFFFCC99"/>
        <bgColor indexed="64"/>
      </patternFill>
    </fill>
    <fill>
      <patternFill patternType="solid">
        <fgColor rgb="FFF9CB9C"/>
        <bgColor indexed="64"/>
      </patternFill>
    </fill>
    <fill>
      <patternFill patternType="solid">
        <fgColor rgb="FFFFCC99"/>
        <bgColor indexed="64"/>
      </patternFill>
    </fill>
    <fill>
      <patternFill patternType="solid">
        <fgColor rgb="FFFFCC99"/>
        <bgColor indexed="64"/>
      </patternFill>
    </fill>
    <fill>
      <patternFill patternType="solid">
        <fgColor rgb="FFF9CB9C"/>
        <bgColor indexed="64"/>
      </patternFill>
    </fill>
    <fill>
      <patternFill patternType="solid">
        <fgColor rgb="FFCFE2F3"/>
        <bgColor indexed="64"/>
      </patternFill>
    </fill>
    <fill>
      <patternFill patternType="solid">
        <fgColor rgb="FFF9CB9C"/>
        <bgColor indexed="64"/>
      </patternFill>
    </fill>
    <fill>
      <patternFill patternType="solid">
        <fgColor rgb="FFFFCC99"/>
        <bgColor indexed="64"/>
      </patternFill>
    </fill>
    <fill>
      <patternFill patternType="solid">
        <fgColor rgb="FFFFCC99"/>
        <bgColor indexed="64"/>
      </patternFill>
    </fill>
    <fill>
      <patternFill patternType="solid">
        <fgColor rgb="FFFFCC99"/>
        <bgColor indexed="64"/>
      </patternFill>
    </fill>
    <fill>
      <patternFill patternType="solid">
        <fgColor rgb="FFBDE6E1"/>
        <bgColor indexed="64"/>
      </patternFill>
    </fill>
    <fill>
      <patternFill patternType="solid">
        <fgColor rgb="FFFFCC99"/>
        <bgColor indexed="64"/>
      </patternFill>
    </fill>
    <fill>
      <patternFill patternType="solid">
        <fgColor rgb="FFF9CB9C"/>
        <bgColor indexed="64"/>
      </patternFill>
    </fill>
    <fill>
      <patternFill patternType="solid">
        <fgColor rgb="FFFFCC99"/>
        <bgColor indexed="64"/>
      </patternFill>
    </fill>
    <fill>
      <patternFill patternType="solid">
        <fgColor rgb="FFBDE6E1"/>
        <bgColor indexed="64"/>
      </patternFill>
    </fill>
    <fill>
      <patternFill patternType="solid">
        <fgColor rgb="FFBDE6E1"/>
        <bgColor indexed="64"/>
      </patternFill>
    </fill>
    <fill>
      <patternFill patternType="solid">
        <fgColor rgb="FFFFCC99"/>
        <bgColor indexed="64"/>
      </patternFill>
    </fill>
    <fill>
      <patternFill patternType="solid">
        <fgColor rgb="FFFFCC99"/>
        <bgColor indexed="64"/>
      </patternFill>
    </fill>
    <fill>
      <patternFill patternType="solid">
        <fgColor rgb="FFFFCC99"/>
        <bgColor indexed="64"/>
      </patternFill>
    </fill>
    <fill>
      <patternFill patternType="solid">
        <fgColor rgb="FFFFCC99"/>
        <bgColor indexed="64"/>
      </patternFill>
    </fill>
    <fill>
      <patternFill patternType="solid">
        <fgColor rgb="FFF3F3F3"/>
        <bgColor indexed="64"/>
      </patternFill>
    </fill>
    <fill>
      <patternFill patternType="solid">
        <fgColor rgb="FFFFCC99"/>
        <bgColor indexed="64"/>
      </patternFill>
    </fill>
    <fill>
      <patternFill patternType="solid">
        <fgColor rgb="FFFFCC99"/>
        <bgColor indexed="64"/>
      </patternFill>
    </fill>
    <fill>
      <patternFill patternType="solid">
        <fgColor rgb="FFFFCC99"/>
        <bgColor indexed="64"/>
      </patternFill>
    </fill>
    <fill>
      <patternFill patternType="solid">
        <fgColor rgb="FFF4CCCC"/>
        <bgColor indexed="64"/>
      </patternFill>
    </fill>
    <fill>
      <patternFill patternType="solid">
        <fgColor rgb="FFBDE6E1"/>
        <bgColor indexed="64"/>
      </patternFill>
    </fill>
    <fill>
      <patternFill patternType="solid">
        <fgColor rgb="FFFFCC99"/>
        <bgColor indexed="64"/>
      </patternFill>
    </fill>
    <fill>
      <patternFill patternType="solid">
        <fgColor rgb="FFD9D9D9"/>
        <bgColor indexed="64"/>
      </patternFill>
    </fill>
    <fill>
      <patternFill patternType="solid">
        <fgColor rgb="FFFFCC99"/>
        <bgColor indexed="64"/>
      </patternFill>
    </fill>
    <fill>
      <patternFill patternType="solid">
        <fgColor rgb="FFBDE6E1"/>
        <bgColor indexed="64"/>
      </patternFill>
    </fill>
    <fill>
      <patternFill patternType="solid">
        <fgColor rgb="FFF9CB9C"/>
        <bgColor indexed="64"/>
      </patternFill>
    </fill>
    <fill>
      <patternFill patternType="solid">
        <fgColor rgb="FFFFFFFF"/>
        <bgColor indexed="64"/>
      </patternFill>
    </fill>
    <fill>
      <patternFill patternType="solid">
        <fgColor rgb="FFBDE6E1"/>
        <bgColor indexed="64"/>
      </patternFill>
    </fill>
    <fill>
      <patternFill patternType="solid">
        <fgColor rgb="FFCFE2F3"/>
        <bgColor indexed="64"/>
      </patternFill>
    </fill>
    <fill>
      <patternFill patternType="solid">
        <fgColor rgb="FFF9CB9C"/>
        <bgColor indexed="64"/>
      </patternFill>
    </fill>
    <fill>
      <patternFill patternType="solid">
        <fgColor rgb="FFFFCC99"/>
        <bgColor indexed="64"/>
      </patternFill>
    </fill>
    <fill>
      <patternFill patternType="solid">
        <fgColor rgb="FFFFCC99"/>
        <bgColor indexed="64"/>
      </patternFill>
    </fill>
    <fill>
      <patternFill patternType="solid">
        <fgColor rgb="FFFFCC99"/>
        <bgColor indexed="64"/>
      </patternFill>
    </fill>
    <fill>
      <patternFill patternType="solid">
        <fgColor rgb="FFF9CB9C"/>
        <bgColor indexed="64"/>
      </patternFill>
    </fill>
    <fill>
      <patternFill patternType="solid">
        <fgColor rgb="FFBDE6E1"/>
        <bgColor indexed="64"/>
      </patternFill>
    </fill>
    <fill>
      <patternFill patternType="solid">
        <fgColor rgb="FFFFCC99"/>
        <bgColor indexed="64"/>
      </patternFill>
    </fill>
    <fill>
      <patternFill patternType="solid">
        <fgColor rgb="FFFFCC99"/>
        <bgColor indexed="64"/>
      </patternFill>
    </fill>
    <fill>
      <patternFill patternType="solid">
        <fgColor rgb="FFFFCC99"/>
        <bgColor indexed="64"/>
      </patternFill>
    </fill>
    <fill>
      <patternFill patternType="solid">
        <fgColor rgb="FFF9CB9C"/>
        <bgColor indexed="64"/>
      </patternFill>
    </fill>
    <fill>
      <patternFill patternType="solid">
        <fgColor rgb="FFCCCCCC"/>
        <bgColor indexed="64"/>
      </patternFill>
    </fill>
    <fill>
      <patternFill patternType="solid">
        <fgColor rgb="FFFFCC99"/>
        <bgColor indexed="64"/>
      </patternFill>
    </fill>
    <fill>
      <patternFill patternType="solid">
        <fgColor rgb="FFF4CCCC"/>
        <bgColor indexed="64"/>
      </patternFill>
    </fill>
    <fill>
      <patternFill patternType="solid">
        <fgColor rgb="FFFFCC99"/>
        <bgColor indexed="64"/>
      </patternFill>
    </fill>
    <fill>
      <patternFill patternType="solid">
        <fgColor rgb="FFBDE6E1"/>
        <bgColor indexed="64"/>
      </patternFill>
    </fill>
    <fill>
      <patternFill patternType="solid">
        <fgColor rgb="FFBDE6E1"/>
        <bgColor indexed="64"/>
      </patternFill>
    </fill>
    <fill>
      <patternFill patternType="solid">
        <fgColor rgb="FFF9CB9C"/>
        <bgColor indexed="64"/>
      </patternFill>
    </fill>
    <fill>
      <patternFill patternType="solid">
        <fgColor rgb="FFBDE6E1"/>
        <bgColor indexed="64"/>
      </patternFill>
    </fill>
    <fill>
      <patternFill patternType="solid">
        <fgColor rgb="FFF9CB9C"/>
        <bgColor indexed="64"/>
      </patternFill>
    </fill>
    <fill>
      <patternFill patternType="solid">
        <fgColor rgb="FFFFFFFF"/>
        <bgColor indexed="64"/>
      </patternFill>
    </fill>
    <fill>
      <patternFill patternType="solid">
        <fgColor rgb="FFFFCC99"/>
        <bgColor indexed="64"/>
      </patternFill>
    </fill>
    <fill>
      <patternFill patternType="solid">
        <fgColor rgb="FFFFCC99"/>
        <bgColor indexed="64"/>
      </patternFill>
    </fill>
    <fill>
      <patternFill patternType="solid">
        <fgColor rgb="FFFFFFFF"/>
        <bgColor indexed="64"/>
      </patternFill>
    </fill>
    <fill>
      <patternFill patternType="solid">
        <fgColor rgb="FFF9CB9C"/>
        <bgColor indexed="64"/>
      </patternFill>
    </fill>
    <fill>
      <patternFill patternType="solid">
        <fgColor rgb="FFFFCC99"/>
        <bgColor indexed="64"/>
      </patternFill>
    </fill>
    <fill>
      <patternFill patternType="solid">
        <fgColor rgb="FFFFCC99"/>
        <bgColor indexed="64"/>
      </patternFill>
    </fill>
    <fill>
      <patternFill patternType="solid">
        <fgColor rgb="FFFFCC99"/>
        <bgColor indexed="64"/>
      </patternFill>
    </fill>
    <fill>
      <patternFill patternType="solid">
        <fgColor rgb="FFFFFFFF"/>
        <bgColor indexed="64"/>
      </patternFill>
    </fill>
    <fill>
      <patternFill patternType="solid">
        <fgColor rgb="FFBDE6E1"/>
        <bgColor indexed="64"/>
      </patternFill>
    </fill>
    <fill>
      <patternFill patternType="solid">
        <fgColor rgb="FFFFCC99"/>
        <bgColor indexed="64"/>
      </patternFill>
    </fill>
    <fill>
      <patternFill patternType="solid">
        <fgColor rgb="FFFFCC99"/>
        <bgColor indexed="64"/>
      </patternFill>
    </fill>
    <fill>
      <patternFill patternType="solid">
        <fgColor rgb="FFF9CB9C"/>
        <bgColor indexed="64"/>
      </patternFill>
    </fill>
    <fill>
      <patternFill patternType="solid">
        <fgColor rgb="FFFFCC99"/>
        <bgColor indexed="64"/>
      </patternFill>
    </fill>
    <fill>
      <patternFill patternType="solid">
        <fgColor rgb="FFBDE6E1"/>
        <bgColor indexed="64"/>
      </patternFill>
    </fill>
    <fill>
      <patternFill patternType="solid">
        <fgColor rgb="FFCFE2F3"/>
        <bgColor indexed="64"/>
      </patternFill>
    </fill>
    <fill>
      <patternFill patternType="solid">
        <fgColor rgb="FFBDE6E1"/>
        <bgColor indexed="64"/>
      </patternFill>
    </fill>
    <fill>
      <patternFill patternType="solid">
        <fgColor rgb="FFFFCC99"/>
        <bgColor indexed="64"/>
      </patternFill>
    </fill>
    <fill>
      <patternFill patternType="solid">
        <fgColor rgb="FFF9CB9C"/>
        <bgColor indexed="64"/>
      </patternFill>
    </fill>
    <fill>
      <patternFill patternType="solid">
        <fgColor rgb="FFBDE6E1"/>
        <bgColor indexed="64"/>
      </patternFill>
    </fill>
    <fill>
      <patternFill patternType="solid">
        <fgColor rgb="FFFFCC99"/>
        <bgColor indexed="64"/>
      </patternFill>
    </fill>
    <fill>
      <patternFill patternType="solid">
        <fgColor rgb="FFF9CB9C"/>
        <bgColor indexed="64"/>
      </patternFill>
    </fill>
    <fill>
      <patternFill patternType="solid">
        <fgColor rgb="FFBDE6E1"/>
        <bgColor indexed="64"/>
      </patternFill>
    </fill>
    <fill>
      <patternFill patternType="solid">
        <fgColor rgb="FFFFCC99"/>
        <bgColor indexed="64"/>
      </patternFill>
    </fill>
    <fill>
      <patternFill patternType="solid">
        <fgColor rgb="FFBDE6E1"/>
        <bgColor indexed="64"/>
      </patternFill>
    </fill>
    <fill>
      <patternFill patternType="solid">
        <fgColor rgb="FFBDE6E1"/>
        <bgColor indexed="64"/>
      </patternFill>
    </fill>
    <fill>
      <patternFill patternType="solid">
        <fgColor rgb="FFFFCC99"/>
        <bgColor indexed="64"/>
      </patternFill>
    </fill>
    <fill>
      <patternFill patternType="solid">
        <fgColor rgb="FFF4CCCC"/>
        <bgColor indexed="64"/>
      </patternFill>
    </fill>
    <fill>
      <patternFill patternType="solid">
        <fgColor rgb="FFFFCC99"/>
        <bgColor indexed="64"/>
      </patternFill>
    </fill>
    <fill>
      <patternFill patternType="solid">
        <fgColor rgb="FFBDE6E1"/>
        <bgColor indexed="64"/>
      </patternFill>
    </fill>
    <fill>
      <patternFill patternType="solid">
        <fgColor rgb="FFFFCC99"/>
        <bgColor indexed="64"/>
      </patternFill>
    </fill>
    <fill>
      <patternFill patternType="solid">
        <fgColor rgb="FFFFCC99"/>
        <bgColor indexed="64"/>
      </patternFill>
    </fill>
    <fill>
      <patternFill patternType="solid">
        <fgColor rgb="FFBDE6E1"/>
        <bgColor indexed="64"/>
      </patternFill>
    </fill>
    <fill>
      <patternFill patternType="solid">
        <fgColor rgb="FFFFCC99"/>
        <bgColor indexed="64"/>
      </patternFill>
    </fill>
    <fill>
      <patternFill patternType="solid">
        <fgColor rgb="FFF9CB9C"/>
        <bgColor indexed="64"/>
      </patternFill>
    </fill>
    <fill>
      <patternFill patternType="solid">
        <fgColor rgb="FFFFCC99"/>
        <bgColor indexed="64"/>
      </patternFill>
    </fill>
    <fill>
      <patternFill patternType="solid">
        <fgColor rgb="FFFFFF00"/>
        <bgColor indexed="64"/>
      </patternFill>
    </fill>
    <fill>
      <patternFill patternType="solid">
        <fgColor rgb="FFFFFFFF"/>
        <bgColor indexed="64"/>
      </patternFill>
    </fill>
    <fill>
      <patternFill patternType="solid">
        <fgColor rgb="FFCFE2F3"/>
        <bgColor indexed="64"/>
      </patternFill>
    </fill>
    <fill>
      <patternFill patternType="solid">
        <fgColor rgb="FFFFCC99"/>
        <bgColor indexed="64"/>
      </patternFill>
    </fill>
    <fill>
      <patternFill patternType="solid">
        <fgColor rgb="FFFFFFFF"/>
        <bgColor indexed="64"/>
      </patternFill>
    </fill>
    <fill>
      <patternFill patternType="solid">
        <fgColor rgb="FFBDE6E1"/>
        <bgColor indexed="64"/>
      </patternFill>
    </fill>
    <fill>
      <patternFill patternType="solid">
        <fgColor rgb="FFBDE6E1"/>
        <bgColor indexed="64"/>
      </patternFill>
    </fill>
    <fill>
      <patternFill patternType="solid">
        <fgColor rgb="FFF9CB9C"/>
        <bgColor indexed="64"/>
      </patternFill>
    </fill>
    <fill>
      <patternFill patternType="solid">
        <fgColor rgb="FFFFCC99"/>
        <bgColor indexed="64"/>
      </patternFill>
    </fill>
    <fill>
      <patternFill patternType="solid">
        <fgColor rgb="FFF9CB9C"/>
        <bgColor indexed="64"/>
      </patternFill>
    </fill>
    <fill>
      <patternFill patternType="solid">
        <fgColor rgb="FFFFCC99"/>
        <bgColor indexed="64"/>
      </patternFill>
    </fill>
    <fill>
      <patternFill patternType="solid">
        <fgColor rgb="FFF9CB9C"/>
        <bgColor indexed="64"/>
      </patternFill>
    </fill>
    <fill>
      <patternFill patternType="solid">
        <fgColor rgb="FFFFFFFF"/>
        <bgColor indexed="64"/>
      </patternFill>
    </fill>
    <fill>
      <patternFill patternType="solid">
        <fgColor rgb="FFCFE2F3"/>
        <bgColor indexed="64"/>
      </patternFill>
    </fill>
    <fill>
      <patternFill patternType="solid">
        <fgColor rgb="FFBDE6E1"/>
        <bgColor indexed="64"/>
      </patternFill>
    </fill>
    <fill>
      <patternFill patternType="solid">
        <fgColor rgb="FFF9CB9C"/>
        <bgColor indexed="64"/>
      </patternFill>
    </fill>
    <fill>
      <patternFill patternType="solid">
        <fgColor rgb="FFD9D9D9"/>
        <bgColor indexed="64"/>
      </patternFill>
    </fill>
    <fill>
      <patternFill patternType="solid">
        <fgColor rgb="FFF9CB9C"/>
        <bgColor indexed="64"/>
      </patternFill>
    </fill>
    <fill>
      <patternFill patternType="solid">
        <fgColor rgb="FFFFCC99"/>
        <bgColor indexed="64"/>
      </patternFill>
    </fill>
    <fill>
      <patternFill patternType="solid">
        <fgColor rgb="FFBDE6E1"/>
        <bgColor indexed="64"/>
      </patternFill>
    </fill>
    <fill>
      <patternFill patternType="solid">
        <fgColor rgb="FFF9CB9C"/>
        <bgColor indexed="64"/>
      </patternFill>
    </fill>
    <fill>
      <patternFill patternType="solid">
        <fgColor rgb="FFF9CB9C"/>
        <bgColor indexed="64"/>
      </patternFill>
    </fill>
    <fill>
      <patternFill patternType="solid">
        <fgColor rgb="FFF9CB9C"/>
        <bgColor indexed="64"/>
      </patternFill>
    </fill>
    <fill>
      <patternFill patternType="solid">
        <fgColor rgb="FFFFFFFF"/>
        <bgColor indexed="64"/>
      </patternFill>
    </fill>
    <fill>
      <patternFill patternType="solid">
        <fgColor rgb="FFFFCC99"/>
        <bgColor indexed="64"/>
      </patternFill>
    </fill>
    <fill>
      <patternFill patternType="solid">
        <fgColor rgb="FFFFCC99"/>
        <bgColor indexed="64"/>
      </patternFill>
    </fill>
    <fill>
      <patternFill patternType="solid">
        <fgColor rgb="FFBDE6E1"/>
        <bgColor indexed="64"/>
      </patternFill>
    </fill>
    <fill>
      <patternFill patternType="solid">
        <fgColor rgb="FFF9CB9C"/>
        <bgColor indexed="64"/>
      </patternFill>
    </fill>
    <fill>
      <patternFill patternType="solid">
        <fgColor rgb="FFFFFFFF"/>
        <bgColor indexed="64"/>
      </patternFill>
    </fill>
    <fill>
      <patternFill patternType="solid">
        <fgColor rgb="FFF9CB9C"/>
        <bgColor indexed="64"/>
      </patternFill>
    </fill>
    <fill>
      <patternFill patternType="solid">
        <fgColor rgb="FFFFFFFF"/>
        <bgColor indexed="64"/>
      </patternFill>
    </fill>
    <fill>
      <patternFill patternType="solid">
        <fgColor rgb="FFFFCC99"/>
        <bgColor indexed="64"/>
      </patternFill>
    </fill>
    <fill>
      <patternFill patternType="solid">
        <fgColor rgb="FFFFCC99"/>
        <bgColor indexed="64"/>
      </patternFill>
    </fill>
    <fill>
      <patternFill patternType="solid">
        <fgColor rgb="FFBDE6E1"/>
        <bgColor indexed="64"/>
      </patternFill>
    </fill>
    <fill>
      <patternFill patternType="solid">
        <fgColor rgb="FFF9CB9C"/>
        <bgColor indexed="64"/>
      </patternFill>
    </fill>
    <fill>
      <patternFill patternType="solid">
        <fgColor rgb="FFBDE6E1"/>
        <bgColor indexed="64"/>
      </patternFill>
    </fill>
    <fill>
      <patternFill patternType="solid">
        <fgColor rgb="FFFFCC99"/>
        <bgColor indexed="64"/>
      </patternFill>
    </fill>
    <fill>
      <patternFill patternType="solid">
        <fgColor rgb="FFFFFF00"/>
        <bgColor indexed="64"/>
      </patternFill>
    </fill>
    <fill>
      <patternFill patternType="solid">
        <fgColor rgb="FFFFCC99"/>
        <bgColor indexed="64"/>
      </patternFill>
    </fill>
    <fill>
      <patternFill patternType="solid">
        <fgColor rgb="FFFFFFFF"/>
        <bgColor indexed="64"/>
      </patternFill>
    </fill>
    <fill>
      <patternFill patternType="solid">
        <fgColor rgb="FFFFCC99"/>
        <bgColor indexed="64"/>
      </patternFill>
    </fill>
    <fill>
      <patternFill patternType="solid">
        <fgColor rgb="FFFFCC99"/>
        <bgColor indexed="64"/>
      </patternFill>
    </fill>
    <fill>
      <patternFill patternType="solid">
        <fgColor rgb="FFFFCC99"/>
        <bgColor indexed="64"/>
      </patternFill>
    </fill>
    <fill>
      <patternFill patternType="solid">
        <fgColor rgb="FFF9CB9C"/>
        <bgColor indexed="64"/>
      </patternFill>
    </fill>
    <fill>
      <patternFill patternType="solid">
        <fgColor rgb="FFBDE6E1"/>
        <bgColor indexed="64"/>
      </patternFill>
    </fill>
    <fill>
      <patternFill patternType="solid">
        <fgColor rgb="FFF9CB9C"/>
        <bgColor indexed="64"/>
      </patternFill>
    </fill>
    <fill>
      <patternFill patternType="solid">
        <fgColor rgb="FFFFE599"/>
        <bgColor indexed="64"/>
      </patternFill>
    </fill>
    <fill>
      <patternFill patternType="solid">
        <fgColor rgb="FFBDE6E1"/>
        <bgColor indexed="64"/>
      </patternFill>
    </fill>
    <fill>
      <patternFill patternType="solid">
        <fgColor rgb="FFF9CB9C"/>
        <bgColor indexed="64"/>
      </patternFill>
    </fill>
    <fill>
      <patternFill patternType="solid">
        <fgColor rgb="FFFFCC99"/>
        <bgColor indexed="64"/>
      </patternFill>
    </fill>
    <fill>
      <patternFill patternType="solid">
        <fgColor rgb="FFFFCC99"/>
        <bgColor indexed="64"/>
      </patternFill>
    </fill>
    <fill>
      <patternFill patternType="solid">
        <fgColor rgb="FFFFCC99"/>
        <bgColor indexed="64"/>
      </patternFill>
    </fill>
    <fill>
      <patternFill patternType="solid">
        <fgColor rgb="FFCFE2F3"/>
        <bgColor indexed="64"/>
      </patternFill>
    </fill>
    <fill>
      <patternFill patternType="solid">
        <fgColor rgb="FFF9CB9C"/>
        <bgColor indexed="64"/>
      </patternFill>
    </fill>
    <fill>
      <patternFill patternType="solid">
        <fgColor rgb="FFFFCC99"/>
        <bgColor indexed="64"/>
      </patternFill>
    </fill>
    <fill>
      <patternFill patternType="solid">
        <fgColor rgb="FFF3F3F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bgColor indexed="64"/>
      </patternFill>
    </fill>
    <fill>
      <patternFill patternType="solid">
        <fgColor theme="0" tint="-0.14999847407452621"/>
        <bgColor indexed="64"/>
      </patternFill>
    </fill>
  </fills>
  <borders count="141">
    <border>
      <left/>
      <right/>
      <top/>
      <bottom/>
      <diagonal/>
    </border>
    <border>
      <left/>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top style="thin">
        <color rgb="FF000000"/>
      </top>
      <bottom style="thin">
        <color rgb="FF000000"/>
      </bottom>
      <diagonal/>
    </border>
    <border>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indexed="64"/>
      </top>
      <bottom/>
      <diagonal/>
    </border>
    <border>
      <left/>
      <right style="thin">
        <color indexed="64"/>
      </right>
      <top style="thin">
        <color rgb="FF000000"/>
      </top>
      <bottom style="thin">
        <color rgb="FF000000"/>
      </bottom>
      <diagonal/>
    </border>
    <border>
      <left/>
      <right/>
      <top style="thin">
        <color rgb="FF000000"/>
      </top>
      <bottom/>
      <diagonal/>
    </border>
    <border>
      <left style="thin">
        <color indexed="64"/>
      </left>
      <right style="thin">
        <color rgb="FF000000"/>
      </right>
      <top style="thin">
        <color rgb="FF000000"/>
      </top>
      <bottom style="thin">
        <color indexed="64"/>
      </bottom>
      <diagonal/>
    </border>
    <border>
      <left style="thin">
        <color indexed="64"/>
      </left>
      <right/>
      <top style="thin">
        <color rgb="FF000000"/>
      </top>
      <bottom style="thin">
        <color rgb="FF000000"/>
      </bottom>
      <diagonal/>
    </border>
    <border>
      <left/>
      <right style="thin">
        <color indexed="64"/>
      </right>
      <top/>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right style="thin">
        <color indexed="64"/>
      </right>
      <top/>
      <bottom style="thin">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diagonal/>
    </border>
    <border>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indexed="64"/>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rgb="FF000000"/>
      </left>
      <right style="thin">
        <color indexed="64"/>
      </right>
      <top style="thin">
        <color indexed="64"/>
      </top>
      <bottom style="thin">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top/>
      <bottom/>
      <diagonal/>
    </border>
    <border>
      <left style="thin">
        <color indexed="64"/>
      </left>
      <right/>
      <top/>
      <bottom style="thin">
        <color indexed="64"/>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rgb="FF000000"/>
      </right>
      <top style="thin">
        <color rgb="FF000000"/>
      </top>
      <bottom/>
      <diagonal/>
    </border>
    <border>
      <left style="thin">
        <color indexed="64"/>
      </left>
      <right/>
      <top/>
      <bottom/>
      <diagonal/>
    </border>
    <border>
      <left/>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rgb="FF000000"/>
      </top>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rgb="FF000000"/>
      </bottom>
      <diagonal/>
    </border>
    <border>
      <left/>
      <right style="thin">
        <color indexed="64"/>
      </right>
      <top style="thin">
        <color indexed="64"/>
      </top>
      <bottom/>
      <diagonal/>
    </border>
    <border>
      <left style="thin">
        <color indexed="64"/>
      </left>
      <right/>
      <top/>
      <bottom style="thin">
        <color rgb="FF000000"/>
      </bottom>
      <diagonal/>
    </border>
    <border>
      <left style="thin">
        <color rgb="FF000000"/>
      </left>
      <right/>
      <top style="thin">
        <color indexed="64"/>
      </top>
      <bottom/>
      <diagonal/>
    </border>
    <border>
      <left/>
      <right style="thin">
        <color indexed="64"/>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indexed="64"/>
      </right>
      <top/>
      <bottom style="thin">
        <color rgb="FF000000"/>
      </bottom>
      <diagonal/>
    </border>
  </borders>
  <cellStyleXfs count="1">
    <xf numFmtId="0" fontId="0" fillId="0" borderId="0"/>
  </cellStyleXfs>
  <cellXfs count="393">
    <xf numFmtId="0" fontId="0" fillId="0" borderId="0" xfId="0" applyAlignment="1">
      <alignment wrapText="1"/>
    </xf>
    <xf numFmtId="0" fontId="1" fillId="0" borderId="1" xfId="0" applyFont="1" applyBorder="1" applyAlignment="1">
      <alignment wrapText="1"/>
    </xf>
    <xf numFmtId="0" fontId="2" fillId="9" borderId="0" xfId="0" applyFont="1" applyFill="1" applyAlignment="1">
      <alignment wrapText="1"/>
    </xf>
    <xf numFmtId="0" fontId="3" fillId="0" borderId="0" xfId="0" applyFont="1" applyAlignment="1">
      <alignment wrapText="1"/>
    </xf>
    <xf numFmtId="0" fontId="4" fillId="0" borderId="14" xfId="0" applyFont="1" applyBorder="1" applyAlignment="1">
      <alignment wrapText="1"/>
    </xf>
    <xf numFmtId="0" fontId="5" fillId="0" borderId="15" xfId="0" applyFont="1" applyBorder="1" applyAlignment="1">
      <alignment wrapText="1"/>
    </xf>
    <xf numFmtId="0" fontId="0" fillId="0" borderId="19" xfId="0" applyBorder="1" applyAlignment="1">
      <alignment wrapText="1"/>
    </xf>
    <xf numFmtId="0" fontId="0" fillId="37" borderId="0" xfId="0" applyFill="1" applyAlignment="1">
      <alignment wrapText="1"/>
    </xf>
    <xf numFmtId="0" fontId="6" fillId="0" borderId="29" xfId="0" applyFont="1" applyBorder="1" applyAlignment="1">
      <alignment wrapText="1"/>
    </xf>
    <xf numFmtId="0" fontId="7" fillId="0" borderId="32" xfId="0" applyFont="1" applyBorder="1" applyAlignment="1">
      <alignment wrapText="1"/>
    </xf>
    <xf numFmtId="0" fontId="8" fillId="57" borderId="0" xfId="0" applyFont="1" applyFill="1" applyAlignment="1">
      <alignment wrapText="1"/>
    </xf>
    <xf numFmtId="0" fontId="9" fillId="72" borderId="49" xfId="0" applyFont="1" applyFill="1" applyBorder="1" applyAlignment="1">
      <alignment wrapText="1"/>
    </xf>
    <xf numFmtId="0" fontId="10" fillId="0" borderId="52" xfId="0" applyFont="1" applyBorder="1" applyAlignment="1">
      <alignment wrapText="1"/>
    </xf>
    <xf numFmtId="0" fontId="11" fillId="0" borderId="0" xfId="0" applyFont="1" applyAlignment="1">
      <alignment wrapText="1"/>
    </xf>
    <xf numFmtId="0" fontId="12" fillId="0" borderId="0" xfId="0" applyFont="1" applyAlignment="1">
      <alignment wrapText="1"/>
    </xf>
    <xf numFmtId="0" fontId="13" fillId="95" borderId="72" xfId="0" applyFont="1" applyFill="1" applyBorder="1" applyAlignment="1">
      <alignment wrapText="1"/>
    </xf>
    <xf numFmtId="0" fontId="14" fillId="0" borderId="78" xfId="0" applyFont="1" applyBorder="1" applyAlignment="1">
      <alignment wrapText="1"/>
    </xf>
    <xf numFmtId="0" fontId="15" fillId="106" borderId="84" xfId="0" applyFont="1" applyFill="1" applyBorder="1" applyAlignment="1">
      <alignment wrapText="1"/>
    </xf>
    <xf numFmtId="0" fontId="16" fillId="121" borderId="0" xfId="0" applyFont="1" applyFill="1" applyAlignment="1">
      <alignment wrapText="1"/>
    </xf>
    <xf numFmtId="0" fontId="17" fillId="0" borderId="104" xfId="0" applyFont="1" applyBorder="1" applyAlignment="1">
      <alignment wrapText="1"/>
    </xf>
    <xf numFmtId="0" fontId="18" fillId="145" borderId="0" xfId="0" applyFont="1" applyFill="1" applyAlignment="1">
      <alignment wrapText="1"/>
    </xf>
    <xf numFmtId="0" fontId="19" fillId="0" borderId="0" xfId="0" applyFont="1" applyAlignment="1">
      <alignment wrapText="1"/>
    </xf>
    <xf numFmtId="0" fontId="20" fillId="0" borderId="0" xfId="0" applyFont="1" applyAlignment="1">
      <alignment wrapText="1"/>
    </xf>
    <xf numFmtId="0" fontId="20" fillId="88" borderId="62" xfId="0" applyFont="1" applyFill="1" applyBorder="1" applyAlignment="1">
      <alignment horizontal="center" wrapText="1"/>
    </xf>
    <xf numFmtId="0" fontId="20" fillId="38" borderId="31" xfId="0" applyFont="1" applyFill="1" applyBorder="1" applyAlignment="1">
      <alignment horizontal="center" wrapText="1"/>
    </xf>
    <xf numFmtId="0" fontId="19" fillId="139" borderId="0" xfId="0" applyFont="1" applyFill="1" applyAlignment="1">
      <alignment wrapText="1"/>
    </xf>
    <xf numFmtId="0" fontId="20" fillId="6" borderId="4" xfId="0" applyFont="1" applyFill="1" applyBorder="1" applyAlignment="1">
      <alignment horizontal="center" vertical="top" wrapText="1"/>
    </xf>
    <xf numFmtId="0" fontId="20" fillId="124" borderId="95" xfId="0" applyFont="1" applyFill="1" applyBorder="1" applyAlignment="1">
      <alignment horizontal="center" vertical="top" wrapText="1"/>
    </xf>
    <xf numFmtId="0" fontId="20" fillId="147" borderId="119" xfId="0" applyFont="1" applyFill="1" applyBorder="1" applyAlignment="1">
      <alignment horizontal="center" wrapText="1"/>
    </xf>
    <xf numFmtId="0" fontId="20" fillId="17" borderId="13" xfId="0" applyFont="1" applyFill="1" applyBorder="1" applyAlignment="1">
      <alignment horizontal="center" vertical="top" wrapText="1"/>
    </xf>
    <xf numFmtId="0" fontId="20" fillId="111" borderId="86" xfId="0" applyFont="1" applyFill="1" applyBorder="1" applyAlignment="1">
      <alignment horizontal="center" wrapText="1"/>
    </xf>
    <xf numFmtId="0" fontId="19" fillId="0" borderId="96" xfId="0" applyFont="1" applyBorder="1" applyAlignment="1">
      <alignment wrapText="1"/>
    </xf>
    <xf numFmtId="0" fontId="20" fillId="4" borderId="2" xfId="0" applyFont="1" applyFill="1" applyBorder="1" applyAlignment="1">
      <alignment horizontal="center" wrapText="1"/>
    </xf>
    <xf numFmtId="0" fontId="20" fillId="101" borderId="79" xfId="0" applyFont="1" applyFill="1" applyBorder="1" applyAlignment="1">
      <alignment horizontal="center" wrapText="1"/>
    </xf>
    <xf numFmtId="0" fontId="19" fillId="0" borderId="101" xfId="0" applyFont="1" applyBorder="1" applyAlignment="1">
      <alignment wrapText="1"/>
    </xf>
    <xf numFmtId="0" fontId="20" fillId="64" borderId="46" xfId="0" applyFont="1" applyFill="1" applyBorder="1" applyAlignment="1">
      <alignment horizontal="center" vertical="top" wrapText="1"/>
    </xf>
    <xf numFmtId="0" fontId="19" fillId="0" borderId="33" xfId="0" applyFont="1" applyBorder="1" applyAlignment="1">
      <alignment wrapText="1"/>
    </xf>
    <xf numFmtId="0" fontId="20" fillId="0" borderId="9" xfId="0" applyFont="1" applyBorder="1" applyAlignment="1">
      <alignment wrapText="1"/>
    </xf>
    <xf numFmtId="0" fontId="20" fillId="0" borderId="14" xfId="0" applyFont="1" applyBorder="1" applyAlignment="1">
      <alignment wrapText="1"/>
    </xf>
    <xf numFmtId="0" fontId="19" fillId="0" borderId="24" xfId="0" applyFont="1" applyBorder="1" applyAlignment="1">
      <alignment wrapText="1"/>
    </xf>
    <xf numFmtId="0" fontId="19" fillId="0" borderId="0" xfId="0" applyFont="1" applyAlignment="1">
      <alignment horizontal="center" wrapText="1"/>
    </xf>
    <xf numFmtId="0" fontId="19" fillId="0" borderId="0" xfId="0" applyFont="1" applyBorder="1" applyAlignment="1">
      <alignment wrapText="1"/>
    </xf>
    <xf numFmtId="0" fontId="20" fillId="69" borderId="114" xfId="0" applyNumberFormat="1" applyFont="1" applyFill="1" applyBorder="1" applyAlignment="1">
      <alignment horizontal="left" wrapText="1"/>
    </xf>
    <xf numFmtId="0" fontId="20" fillId="102" borderId="114" xfId="0" applyNumberFormat="1" applyFont="1" applyFill="1" applyBorder="1" applyAlignment="1">
      <alignment horizontal="left" wrapText="1"/>
    </xf>
    <xf numFmtId="0" fontId="20" fillId="0" borderId="0" xfId="0" applyFont="1" applyBorder="1" applyAlignment="1">
      <alignment wrapText="1"/>
    </xf>
    <xf numFmtId="0" fontId="20" fillId="0" borderId="0" xfId="0" applyFont="1" applyBorder="1" applyAlignment="1">
      <alignment wrapText="1"/>
    </xf>
    <xf numFmtId="0" fontId="19" fillId="0" borderId="0" xfId="0" applyFont="1" applyBorder="1" applyAlignment="1">
      <alignment wrapText="1"/>
    </xf>
    <xf numFmtId="0" fontId="28" fillId="150" borderId="27" xfId="0" applyFont="1" applyFill="1" applyBorder="1" applyAlignment="1">
      <alignment wrapText="1"/>
    </xf>
    <xf numFmtId="0" fontId="27" fillId="150" borderId="121" xfId="0" applyFont="1" applyFill="1" applyBorder="1" applyAlignment="1">
      <alignment wrapText="1"/>
    </xf>
    <xf numFmtId="0" fontId="19" fillId="139" borderId="124" xfId="0" applyFont="1" applyFill="1" applyBorder="1" applyAlignment="1">
      <alignment wrapText="1"/>
    </xf>
    <xf numFmtId="0" fontId="20" fillId="88" borderId="123" xfId="0" applyFont="1" applyFill="1" applyBorder="1" applyAlignment="1">
      <alignment horizontal="center" wrapText="1"/>
    </xf>
    <xf numFmtId="0" fontId="20" fillId="38" borderId="115" xfId="0" applyFont="1" applyFill="1" applyBorder="1" applyAlignment="1">
      <alignment horizontal="center" wrapText="1"/>
    </xf>
    <xf numFmtId="0" fontId="20" fillId="26" borderId="70" xfId="0" applyNumberFormat="1" applyFont="1" applyFill="1" applyBorder="1" applyAlignment="1">
      <alignment horizontal="left" wrapText="1"/>
    </xf>
    <xf numFmtId="0" fontId="20" fillId="38" borderId="123" xfId="0" applyFont="1" applyFill="1" applyBorder="1" applyAlignment="1">
      <alignment horizontal="center" wrapText="1"/>
    </xf>
    <xf numFmtId="0" fontId="20" fillId="38" borderId="111" xfId="0" applyFont="1" applyFill="1" applyBorder="1" applyAlignment="1">
      <alignment horizontal="center" wrapText="1"/>
    </xf>
    <xf numFmtId="0" fontId="20" fillId="99" borderId="128" xfId="0" applyFont="1" applyFill="1" applyBorder="1" applyAlignment="1">
      <alignment horizontal="center" wrapText="1"/>
    </xf>
    <xf numFmtId="0" fontId="20" fillId="99" borderId="27" xfId="0" applyFont="1" applyFill="1" applyBorder="1" applyAlignment="1">
      <alignment horizontal="center" wrapText="1"/>
    </xf>
    <xf numFmtId="0" fontId="20" fillId="96" borderId="70" xfId="0" applyFont="1" applyFill="1" applyBorder="1" applyAlignment="1">
      <alignment horizontal="left" wrapText="1"/>
    </xf>
    <xf numFmtId="0" fontId="20" fillId="133" borderId="110" xfId="0" applyFont="1" applyFill="1" applyBorder="1" applyAlignment="1">
      <alignment horizontal="right" wrapText="1"/>
    </xf>
    <xf numFmtId="0" fontId="20" fillId="141" borderId="131" xfId="0" applyFont="1" applyFill="1" applyBorder="1" applyAlignment="1">
      <alignment horizontal="center" wrapText="1"/>
    </xf>
    <xf numFmtId="0" fontId="20" fillId="141" borderId="30" xfId="0" applyFont="1" applyFill="1" applyBorder="1" applyAlignment="1">
      <alignment horizontal="center" wrapText="1"/>
    </xf>
    <xf numFmtId="0" fontId="20" fillId="147" borderId="123" xfId="0" applyFont="1" applyFill="1" applyBorder="1" applyAlignment="1">
      <alignment horizontal="center" wrapText="1"/>
    </xf>
    <xf numFmtId="0" fontId="27" fillId="150" borderId="6" xfId="0" applyFont="1" applyFill="1" applyBorder="1" applyAlignment="1">
      <alignment wrapText="1"/>
    </xf>
    <xf numFmtId="0" fontId="27" fillId="150" borderId="117" xfId="0" applyFont="1" applyFill="1" applyBorder="1" applyAlignment="1">
      <alignment wrapText="1"/>
    </xf>
    <xf numFmtId="0" fontId="27" fillId="150" borderId="94" xfId="0" applyFont="1" applyFill="1" applyBorder="1" applyAlignment="1">
      <alignment wrapText="1"/>
    </xf>
    <xf numFmtId="0" fontId="27" fillId="150" borderId="133" xfId="0" applyFont="1" applyFill="1" applyBorder="1" applyAlignment="1">
      <alignment wrapText="1"/>
    </xf>
    <xf numFmtId="0" fontId="28" fillId="150" borderId="95" xfId="0" applyFont="1" applyFill="1" applyBorder="1" applyAlignment="1">
      <alignment wrapText="1"/>
    </xf>
    <xf numFmtId="0" fontId="28" fillId="150" borderId="123" xfId="0" applyFont="1" applyFill="1" applyBorder="1" applyAlignment="1">
      <alignment wrapText="1"/>
    </xf>
    <xf numFmtId="0" fontId="28" fillId="150" borderId="91" xfId="0" applyFont="1" applyFill="1" applyBorder="1" applyAlignment="1">
      <alignment vertical="top" wrapText="1"/>
    </xf>
    <xf numFmtId="0" fontId="28" fillId="150" borderId="128" xfId="0" applyFont="1" applyFill="1" applyBorder="1" applyAlignment="1">
      <alignment vertical="top" wrapText="1"/>
    </xf>
    <xf numFmtId="0" fontId="27" fillId="150" borderId="122" xfId="0" applyFont="1" applyFill="1" applyBorder="1" applyAlignment="1">
      <alignment wrapText="1"/>
    </xf>
    <xf numFmtId="0" fontId="27" fillId="150" borderId="92" xfId="0" applyFont="1" applyFill="1" applyBorder="1" applyAlignment="1">
      <alignment wrapText="1"/>
    </xf>
    <xf numFmtId="0" fontId="19" fillId="150" borderId="101" xfId="0" applyFont="1" applyFill="1" applyBorder="1" applyAlignment="1">
      <alignment wrapText="1"/>
    </xf>
    <xf numFmtId="0" fontId="19" fillId="150" borderId="0" xfId="0" applyFont="1" applyFill="1" applyBorder="1" applyAlignment="1">
      <alignment wrapText="1"/>
    </xf>
    <xf numFmtId="0" fontId="19" fillId="150" borderId="72" xfId="0" applyFont="1" applyFill="1" applyBorder="1" applyAlignment="1">
      <alignment wrapText="1"/>
    </xf>
    <xf numFmtId="0" fontId="19" fillId="150" borderId="97" xfId="0" applyFont="1" applyFill="1" applyBorder="1" applyAlignment="1">
      <alignment wrapText="1"/>
    </xf>
    <xf numFmtId="0" fontId="19" fillId="150" borderId="124" xfId="0" applyFont="1" applyFill="1" applyBorder="1" applyAlignment="1">
      <alignment wrapText="1"/>
    </xf>
    <xf numFmtId="0" fontId="19" fillId="150" borderId="43" xfId="0" applyFont="1" applyFill="1" applyBorder="1" applyAlignment="1">
      <alignment wrapText="1"/>
    </xf>
    <xf numFmtId="0" fontId="27" fillId="150" borderId="91" xfId="0" applyFont="1" applyFill="1" applyBorder="1" applyAlignment="1">
      <alignment wrapText="1"/>
    </xf>
    <xf numFmtId="0" fontId="27" fillId="150" borderId="70" xfId="0" applyFont="1" applyFill="1" applyBorder="1" applyAlignment="1">
      <alignment wrapText="1"/>
    </xf>
    <xf numFmtId="0" fontId="27" fillId="150" borderId="102" xfId="0" applyFont="1" applyFill="1" applyBorder="1" applyAlignment="1">
      <alignment wrapText="1"/>
    </xf>
    <xf numFmtId="0" fontId="28" fillId="150" borderId="104" xfId="0" applyFont="1" applyFill="1" applyBorder="1" applyAlignment="1">
      <alignment vertical="top" wrapText="1"/>
    </xf>
    <xf numFmtId="0" fontId="28" fillId="150" borderId="76" xfId="0" applyFont="1" applyFill="1" applyBorder="1" applyAlignment="1">
      <alignment wrapText="1"/>
    </xf>
    <xf numFmtId="0" fontId="28" fillId="150" borderId="91" xfId="0" applyFont="1" applyFill="1" applyBorder="1" applyAlignment="1">
      <alignment wrapText="1"/>
    </xf>
    <xf numFmtId="0" fontId="27" fillId="150" borderId="134" xfId="0" applyFont="1" applyFill="1" applyBorder="1" applyAlignment="1">
      <alignment wrapText="1"/>
    </xf>
    <xf numFmtId="0" fontId="28" fillId="150" borderId="111" xfId="0" applyFont="1" applyFill="1" applyBorder="1" applyAlignment="1">
      <alignment wrapText="1"/>
    </xf>
    <xf numFmtId="0" fontId="24" fillId="21" borderId="70" xfId="0" applyFont="1" applyFill="1" applyBorder="1" applyAlignment="1">
      <alignment wrapText="1"/>
    </xf>
    <xf numFmtId="0" fontId="19" fillId="0" borderId="0" xfId="0" applyFont="1" applyAlignment="1">
      <alignment horizontal="left" wrapText="1"/>
    </xf>
    <xf numFmtId="0" fontId="19" fillId="0" borderId="0" xfId="0" applyFont="1" applyAlignment="1">
      <alignment horizontal="right" wrapText="1"/>
    </xf>
    <xf numFmtId="0" fontId="24" fillId="31" borderId="114" xfId="0" applyFont="1" applyFill="1" applyBorder="1" applyAlignment="1">
      <alignment horizontal="right" vertical="center" wrapText="1"/>
    </xf>
    <xf numFmtId="0" fontId="20" fillId="114" borderId="114" xfId="0" applyFont="1" applyFill="1" applyBorder="1" applyAlignment="1">
      <alignment horizontal="left" vertical="center" wrapText="1"/>
    </xf>
    <xf numFmtId="0" fontId="30" fillId="125" borderId="114" xfId="0" applyFont="1" applyFill="1" applyBorder="1" applyAlignment="1">
      <alignment horizontal="left" vertical="center" wrapText="1"/>
    </xf>
    <xf numFmtId="0" fontId="31" fillId="114" borderId="114" xfId="0" applyFont="1" applyFill="1" applyBorder="1" applyAlignment="1">
      <alignment horizontal="left" vertical="center" wrapText="1"/>
    </xf>
    <xf numFmtId="0" fontId="24" fillId="137" borderId="114" xfId="0" applyFont="1" applyFill="1" applyBorder="1" applyAlignment="1">
      <alignment horizontal="center" vertical="center" wrapText="1"/>
    </xf>
    <xf numFmtId="0" fontId="24" fillId="55" borderId="114" xfId="0" applyFont="1" applyFill="1" applyBorder="1" applyAlignment="1">
      <alignment horizontal="center" vertical="center" wrapText="1"/>
    </xf>
    <xf numFmtId="0" fontId="25" fillId="119" borderId="114" xfId="0" applyFont="1" applyFill="1" applyBorder="1" applyAlignment="1">
      <alignment horizontal="center" vertical="center" wrapText="1"/>
    </xf>
    <xf numFmtId="0" fontId="26" fillId="40" borderId="114" xfId="0" applyFont="1" applyFill="1" applyBorder="1" applyAlignment="1">
      <alignment horizontal="center" vertical="center" wrapText="1"/>
    </xf>
    <xf numFmtId="0" fontId="24" fillId="136" borderId="114" xfId="0" applyFont="1" applyFill="1" applyBorder="1" applyAlignment="1">
      <alignment horizontal="right" vertical="center" wrapText="1"/>
    </xf>
    <xf numFmtId="0" fontId="24" fillId="5" borderId="114" xfId="0" applyFont="1" applyFill="1" applyBorder="1" applyAlignment="1">
      <alignment horizontal="right" vertical="center" wrapText="1"/>
    </xf>
    <xf numFmtId="0" fontId="24" fillId="2" borderId="114" xfId="0" applyFont="1" applyFill="1" applyBorder="1" applyAlignment="1">
      <alignment horizontal="left" vertical="center" wrapText="1"/>
    </xf>
    <xf numFmtId="0" fontId="12" fillId="0" borderId="0" xfId="0" applyFont="1" applyAlignment="1">
      <alignment wrapText="1"/>
    </xf>
    <xf numFmtId="0" fontId="0" fillId="0" borderId="0" xfId="0" applyAlignment="1">
      <alignment wrapText="1"/>
    </xf>
    <xf numFmtId="0" fontId="12" fillId="0" borderId="0" xfId="0" applyFont="1" applyAlignment="1">
      <alignment horizontal="left" wrapText="1"/>
    </xf>
    <xf numFmtId="0" fontId="1" fillId="0" borderId="1" xfId="0" applyFont="1" applyBorder="1" applyAlignment="1">
      <alignment horizontal="left" wrapText="1"/>
    </xf>
    <xf numFmtId="0" fontId="4" fillId="0" borderId="14" xfId="0" applyFont="1" applyBorder="1" applyAlignment="1">
      <alignment horizontal="left" wrapText="1"/>
    </xf>
    <xf numFmtId="0" fontId="1" fillId="0" borderId="0" xfId="0" applyFont="1" applyAlignment="1">
      <alignment horizontal="left" wrapText="1"/>
    </xf>
    <xf numFmtId="0" fontId="0" fillId="0" borderId="0" xfId="0" applyAlignment="1">
      <alignment horizontal="left" wrapText="1"/>
    </xf>
    <xf numFmtId="0" fontId="1" fillId="0" borderId="78" xfId="0" applyFont="1" applyBorder="1" applyAlignment="1">
      <alignment wrapText="1"/>
    </xf>
    <xf numFmtId="0" fontId="32" fillId="151" borderId="69" xfId="0" applyFont="1" applyFill="1" applyBorder="1" applyAlignment="1">
      <alignment wrapText="1"/>
    </xf>
    <xf numFmtId="0" fontId="22" fillId="76" borderId="114" xfId="0" applyFont="1" applyFill="1" applyBorder="1" applyAlignment="1">
      <alignment horizontal="left" wrapText="1"/>
    </xf>
    <xf numFmtId="0" fontId="20" fillId="18" borderId="114" xfId="0" applyFont="1" applyFill="1" applyBorder="1" applyAlignment="1">
      <alignment horizontal="left" wrapText="1"/>
    </xf>
    <xf numFmtId="0" fontId="33" fillId="0" borderId="0" xfId="0" applyFont="1" applyAlignment="1">
      <alignment wrapText="1"/>
    </xf>
    <xf numFmtId="0" fontId="24" fillId="108" borderId="0" xfId="0" applyFont="1" applyFill="1" applyBorder="1" applyAlignment="1">
      <alignment wrapText="1"/>
    </xf>
    <xf numFmtId="0" fontId="24" fillId="136" borderId="136" xfId="0" applyFont="1" applyFill="1" applyBorder="1" applyAlignment="1">
      <alignment horizontal="right" vertical="center" wrapText="1"/>
    </xf>
    <xf numFmtId="0" fontId="24" fillId="125" borderId="114" xfId="0" applyFont="1" applyFill="1" applyBorder="1" applyAlignment="1">
      <alignment horizontal="left" vertical="center" wrapText="1"/>
    </xf>
    <xf numFmtId="0" fontId="24" fillId="108" borderId="70" xfId="0" applyFont="1" applyFill="1" applyBorder="1" applyAlignment="1">
      <alignment wrapText="1"/>
    </xf>
    <xf numFmtId="0" fontId="25" fillId="152" borderId="70" xfId="0" applyFont="1" applyFill="1" applyBorder="1" applyAlignment="1">
      <alignment horizontal="center" vertical="center" wrapText="1"/>
    </xf>
    <xf numFmtId="0" fontId="25" fillId="152" borderId="114" xfId="0" applyFont="1" applyFill="1" applyBorder="1" applyAlignment="1">
      <alignment horizontal="right" vertical="center" wrapText="1"/>
    </xf>
    <xf numFmtId="0" fontId="23" fillId="34" borderId="114" xfId="0" applyFont="1" applyFill="1" applyBorder="1" applyAlignment="1">
      <alignment horizontal="left" vertical="center" wrapText="1"/>
    </xf>
    <xf numFmtId="0" fontId="23" fillId="34" borderId="136" xfId="0" applyFont="1" applyFill="1" applyBorder="1" applyAlignment="1">
      <alignment horizontal="left" vertical="center" wrapText="1"/>
    </xf>
    <xf numFmtId="0" fontId="23" fillId="138" borderId="114" xfId="0" applyFont="1" applyFill="1" applyBorder="1" applyAlignment="1">
      <alignment horizontal="left" vertical="center" wrapText="1"/>
    </xf>
    <xf numFmtId="0" fontId="24" fillId="108" borderId="91" xfId="0" applyFont="1" applyFill="1" applyBorder="1" applyAlignment="1">
      <alignment wrapText="1"/>
    </xf>
    <xf numFmtId="0" fontId="24" fillId="108" borderId="102" xfId="0" applyFont="1" applyFill="1" applyBorder="1" applyAlignment="1">
      <alignment wrapText="1"/>
    </xf>
    <xf numFmtId="0" fontId="20" fillId="0" borderId="0" xfId="0" applyFont="1" applyBorder="1" applyAlignment="1">
      <alignment wrapText="1"/>
    </xf>
    <xf numFmtId="0" fontId="19" fillId="0" borderId="0" xfId="0" applyFont="1" applyBorder="1" applyAlignment="1">
      <alignment wrapText="1"/>
    </xf>
    <xf numFmtId="0" fontId="27" fillId="150" borderId="118" xfId="0" applyFont="1" applyFill="1" applyBorder="1" applyAlignment="1">
      <alignment wrapText="1"/>
    </xf>
    <xf numFmtId="0" fontId="27" fillId="150" borderId="132" xfId="0" applyFont="1" applyFill="1" applyBorder="1" applyAlignment="1">
      <alignment wrapText="1"/>
    </xf>
    <xf numFmtId="0" fontId="27" fillId="150" borderId="0" xfId="0" applyFont="1" applyFill="1" applyBorder="1" applyAlignment="1">
      <alignment wrapText="1"/>
    </xf>
    <xf numFmtId="0" fontId="27" fillId="150" borderId="72" xfId="0" applyFont="1" applyFill="1" applyBorder="1" applyAlignment="1">
      <alignment wrapText="1"/>
    </xf>
    <xf numFmtId="0" fontId="27" fillId="150" borderId="101" xfId="0" applyFont="1" applyFill="1" applyBorder="1" applyAlignment="1">
      <alignment wrapText="1"/>
    </xf>
    <xf numFmtId="0" fontId="24" fillId="152" borderId="114" xfId="0" applyFont="1" applyFill="1" applyBorder="1" applyAlignment="1">
      <alignment horizontal="right" vertical="center" wrapText="1"/>
    </xf>
    <xf numFmtId="0" fontId="29" fillId="149" borderId="104" xfId="0" applyFont="1" applyFill="1" applyBorder="1" applyAlignment="1">
      <alignment horizontal="center" vertical="center" wrapText="1"/>
    </xf>
    <xf numFmtId="0" fontId="29" fillId="149" borderId="118" xfId="0" applyFont="1" applyFill="1" applyBorder="1" applyAlignment="1">
      <alignment horizontal="center" vertical="center" wrapText="1"/>
    </xf>
    <xf numFmtId="0" fontId="29" fillId="149" borderId="132" xfId="0" applyFont="1" applyFill="1" applyBorder="1" applyAlignment="1">
      <alignment horizontal="center" vertical="center" wrapText="1"/>
    </xf>
    <xf numFmtId="0" fontId="29" fillId="149" borderId="101" xfId="0" applyFont="1" applyFill="1" applyBorder="1" applyAlignment="1">
      <alignment horizontal="center" vertical="center" wrapText="1"/>
    </xf>
    <xf numFmtId="0" fontId="29" fillId="149" borderId="0" xfId="0" applyFont="1" applyFill="1" applyBorder="1" applyAlignment="1">
      <alignment horizontal="center" vertical="center" wrapText="1"/>
    </xf>
    <xf numFmtId="0" fontId="29" fillId="149" borderId="72" xfId="0" applyFont="1" applyFill="1" applyBorder="1" applyAlignment="1">
      <alignment horizontal="center" vertical="center" wrapText="1"/>
    </xf>
    <xf numFmtId="0" fontId="29" fillId="149" borderId="97" xfId="0" applyFont="1" applyFill="1" applyBorder="1" applyAlignment="1">
      <alignment horizontal="center" vertical="center" wrapText="1"/>
    </xf>
    <xf numFmtId="0" fontId="29" fillId="149" borderId="124" xfId="0" applyFont="1" applyFill="1" applyBorder="1" applyAlignment="1">
      <alignment horizontal="center" vertical="center" wrapText="1"/>
    </xf>
    <xf numFmtId="0" fontId="29" fillId="149" borderId="43" xfId="0" applyFont="1" applyFill="1" applyBorder="1" applyAlignment="1">
      <alignment horizontal="center" vertical="center" wrapText="1"/>
    </xf>
    <xf numFmtId="0" fontId="24" fillId="52" borderId="91" xfId="0" applyNumberFormat="1" applyFont="1" applyFill="1" applyBorder="1" applyAlignment="1">
      <alignment vertical="center" wrapText="1"/>
    </xf>
    <xf numFmtId="0" fontId="24" fillId="52" borderId="102" xfId="0" applyNumberFormat="1" applyFont="1" applyFill="1" applyBorder="1" applyAlignment="1">
      <alignment vertical="center" wrapText="1"/>
    </xf>
    <xf numFmtId="0" fontId="24" fillId="52" borderId="70" xfId="0" applyNumberFormat="1" applyFont="1" applyFill="1" applyBorder="1" applyAlignment="1">
      <alignment vertical="center" wrapText="1"/>
    </xf>
    <xf numFmtId="0" fontId="24" fillId="152" borderId="114" xfId="0" applyFont="1" applyFill="1" applyBorder="1" applyAlignment="1">
      <alignment horizontal="right" vertical="center" wrapText="1"/>
    </xf>
    <xf numFmtId="0" fontId="30" fillId="83" borderId="91" xfId="0" applyFont="1" applyFill="1" applyBorder="1" applyAlignment="1">
      <alignment horizontal="right" vertical="center" wrapText="1"/>
    </xf>
    <xf numFmtId="0" fontId="30" fillId="83" borderId="70" xfId="0" applyFont="1" applyFill="1" applyBorder="1" applyAlignment="1">
      <alignment horizontal="right" vertical="center" wrapText="1"/>
    </xf>
    <xf numFmtId="0" fontId="24" fillId="152" borderId="91" xfId="0" applyFont="1" applyFill="1" applyBorder="1" applyAlignment="1">
      <alignment horizontal="left" vertical="center" wrapText="1"/>
    </xf>
    <xf numFmtId="0" fontId="24" fillId="152" borderId="102" xfId="0" applyFont="1" applyFill="1" applyBorder="1" applyAlignment="1">
      <alignment horizontal="left" vertical="center" wrapText="1"/>
    </xf>
    <xf numFmtId="0" fontId="24" fillId="152" borderId="70" xfId="0" applyFont="1" applyFill="1" applyBorder="1" applyAlignment="1">
      <alignment horizontal="left" vertical="center" wrapText="1"/>
    </xf>
    <xf numFmtId="0" fontId="27" fillId="140" borderId="91" xfId="0" applyFont="1" applyFill="1" applyBorder="1" applyAlignment="1">
      <alignment wrapText="1"/>
    </xf>
    <xf numFmtId="0" fontId="27" fillId="140" borderId="102" xfId="0" applyFont="1" applyFill="1" applyBorder="1" applyAlignment="1">
      <alignment wrapText="1"/>
    </xf>
    <xf numFmtId="0" fontId="27" fillId="140" borderId="70" xfId="0" applyFont="1" applyFill="1" applyBorder="1" applyAlignment="1">
      <alignment wrapText="1"/>
    </xf>
    <xf numFmtId="0" fontId="24" fillId="43" borderId="91" xfId="0" applyFont="1" applyFill="1" applyBorder="1" applyAlignment="1">
      <alignment horizontal="left" vertical="center" wrapText="1"/>
    </xf>
    <xf numFmtId="0" fontId="24" fillId="43" borderId="70" xfId="0" applyFont="1" applyFill="1" applyBorder="1" applyAlignment="1">
      <alignment horizontal="left" vertical="center" wrapText="1"/>
    </xf>
    <xf numFmtId="0" fontId="24" fillId="43" borderId="91" xfId="0" applyFont="1" applyFill="1" applyBorder="1" applyAlignment="1">
      <alignment vertical="center" wrapText="1"/>
    </xf>
    <xf numFmtId="0" fontId="24" fillId="43" borderId="102" xfId="0" applyFont="1" applyFill="1" applyBorder="1" applyAlignment="1">
      <alignment vertical="center" wrapText="1"/>
    </xf>
    <xf numFmtId="0" fontId="24" fillId="43" borderId="70" xfId="0" applyFont="1" applyFill="1" applyBorder="1" applyAlignment="1">
      <alignment vertical="center" wrapText="1"/>
    </xf>
    <xf numFmtId="0" fontId="20" fillId="81" borderId="91" xfId="0" applyFont="1" applyFill="1" applyBorder="1" applyAlignment="1">
      <alignment horizontal="left" vertical="center" wrapText="1"/>
    </xf>
    <xf numFmtId="0" fontId="20" fillId="81" borderId="70" xfId="0" applyFont="1" applyFill="1" applyBorder="1" applyAlignment="1">
      <alignment horizontal="left" vertical="center" wrapText="1"/>
    </xf>
    <xf numFmtId="0" fontId="20" fillId="112" borderId="91" xfId="0" applyFont="1" applyFill="1" applyBorder="1" applyAlignment="1">
      <alignment vertical="center" wrapText="1"/>
    </xf>
    <xf numFmtId="0" fontId="20" fillId="112" borderId="102" xfId="0" applyFont="1" applyFill="1" applyBorder="1" applyAlignment="1">
      <alignment vertical="center" wrapText="1"/>
    </xf>
    <xf numFmtId="0" fontId="20" fillId="112" borderId="70" xfId="0" applyFont="1" applyFill="1" applyBorder="1" applyAlignment="1">
      <alignment vertical="center" wrapText="1"/>
    </xf>
    <xf numFmtId="0" fontId="24" fillId="152" borderId="91" xfId="0" applyFont="1" applyFill="1" applyBorder="1" applyAlignment="1">
      <alignment horizontal="right" vertical="center" wrapText="1"/>
    </xf>
    <xf numFmtId="0" fontId="24" fillId="152" borderId="70" xfId="0" applyFont="1" applyFill="1" applyBorder="1" applyAlignment="1">
      <alignment horizontal="right" vertical="center" wrapText="1"/>
    </xf>
    <xf numFmtId="0" fontId="20" fillId="0" borderId="0" xfId="0" applyFont="1" applyBorder="1" applyAlignment="1">
      <alignment wrapText="1"/>
    </xf>
    <xf numFmtId="0" fontId="19" fillId="0" borderId="0" xfId="0" applyFont="1" applyBorder="1" applyAlignment="1">
      <alignment wrapText="1"/>
    </xf>
    <xf numFmtId="0" fontId="20" fillId="59" borderId="91" xfId="0" applyFont="1" applyFill="1" applyBorder="1" applyAlignment="1">
      <alignment horizontal="right" wrapText="1"/>
    </xf>
    <xf numFmtId="0" fontId="20" fillId="59" borderId="102" xfId="0" applyFont="1" applyFill="1" applyBorder="1" applyAlignment="1">
      <alignment horizontal="right" wrapText="1"/>
    </xf>
    <xf numFmtId="0" fontId="20" fillId="19" borderId="102" xfId="0" applyFont="1" applyFill="1" applyBorder="1" applyAlignment="1">
      <alignment wrapText="1"/>
    </xf>
    <xf numFmtId="0" fontId="21" fillId="24" borderId="102" xfId="0" applyFont="1" applyFill="1" applyBorder="1" applyAlignment="1">
      <alignment wrapText="1"/>
    </xf>
    <xf numFmtId="0" fontId="21" fillId="148" borderId="102" xfId="0" applyFont="1" applyFill="1" applyBorder="1" applyAlignment="1">
      <alignment wrapText="1"/>
    </xf>
    <xf numFmtId="0" fontId="21" fillId="148" borderId="70" xfId="0" applyFont="1" applyFill="1" applyBorder="1" applyAlignment="1">
      <alignment wrapText="1"/>
    </xf>
    <xf numFmtId="0" fontId="20" fillId="70" borderId="91" xfId="0" applyFont="1" applyFill="1" applyBorder="1" applyAlignment="1">
      <alignment horizontal="right" wrapText="1"/>
    </xf>
    <xf numFmtId="0" fontId="20" fillId="70" borderId="102" xfId="0" applyFont="1" applyFill="1" applyBorder="1" applyAlignment="1">
      <alignment horizontal="right" wrapText="1"/>
    </xf>
    <xf numFmtId="0" fontId="27" fillId="150" borderId="104" xfId="0" applyFont="1" applyFill="1" applyBorder="1" applyAlignment="1">
      <alignment wrapText="1"/>
    </xf>
    <xf numFmtId="0" fontId="27" fillId="150" borderId="118" xfId="0" applyFont="1" applyFill="1" applyBorder="1" applyAlignment="1">
      <alignment wrapText="1"/>
    </xf>
    <xf numFmtId="0" fontId="27" fillId="150" borderId="132" xfId="0" applyFont="1" applyFill="1" applyBorder="1" applyAlignment="1">
      <alignment wrapText="1"/>
    </xf>
    <xf numFmtId="0" fontId="27" fillId="150" borderId="0" xfId="0" applyFont="1" applyFill="1" applyBorder="1" applyAlignment="1">
      <alignment wrapText="1"/>
    </xf>
    <xf numFmtId="0" fontId="27" fillId="150" borderId="72" xfId="0" applyFont="1" applyFill="1" applyBorder="1" applyAlignment="1">
      <alignment wrapText="1"/>
    </xf>
    <xf numFmtId="0" fontId="27" fillId="150" borderId="101" xfId="0" applyFont="1" applyFill="1" applyBorder="1" applyAlignment="1">
      <alignment wrapText="1"/>
    </xf>
    <xf numFmtId="0" fontId="20" fillId="74" borderId="91" xfId="0" applyFont="1" applyFill="1" applyBorder="1" applyAlignment="1"/>
    <xf numFmtId="0" fontId="19" fillId="0" borderId="102" xfId="0" applyFont="1" applyBorder="1" applyAlignment="1">
      <alignment wrapText="1"/>
    </xf>
    <xf numFmtId="0" fontId="20" fillId="118" borderId="102" xfId="0" applyFont="1" applyFill="1" applyBorder="1"/>
    <xf numFmtId="0" fontId="19" fillId="0" borderId="30" xfId="0" applyFont="1" applyBorder="1" applyAlignment="1">
      <alignment wrapText="1"/>
    </xf>
    <xf numFmtId="0" fontId="19" fillId="0" borderId="129" xfId="0" applyFont="1" applyBorder="1" applyAlignment="1">
      <alignment wrapText="1"/>
    </xf>
    <xf numFmtId="0" fontId="20" fillId="78" borderId="53" xfId="0" applyFont="1" applyFill="1" applyBorder="1" applyAlignment="1">
      <alignment horizontal="right" wrapText="1"/>
    </xf>
    <xf numFmtId="0" fontId="19" fillId="16" borderId="12" xfId="0" applyFont="1" applyFill="1" applyBorder="1" applyAlignment="1">
      <alignment horizontal="right" wrapText="1"/>
    </xf>
    <xf numFmtId="0" fontId="20" fillId="54" borderId="41" xfId="0" applyNumberFormat="1" applyFont="1" applyFill="1" applyBorder="1" applyAlignment="1">
      <alignment wrapText="1"/>
    </xf>
    <xf numFmtId="0" fontId="19" fillId="0" borderId="135" xfId="0" applyFont="1" applyBorder="1" applyAlignment="1">
      <alignment horizontal="right" wrapText="1"/>
    </xf>
    <xf numFmtId="0" fontId="19" fillId="0" borderId="82" xfId="0" applyFont="1" applyBorder="1" applyAlignment="1">
      <alignment wrapText="1"/>
    </xf>
    <xf numFmtId="0" fontId="19" fillId="22" borderId="17" xfId="0" applyFont="1" applyFill="1" applyBorder="1" applyAlignment="1">
      <alignment wrapText="1"/>
    </xf>
    <xf numFmtId="0" fontId="19" fillId="23" borderId="18" xfId="0" applyFont="1" applyFill="1" applyBorder="1" applyAlignment="1">
      <alignment wrapText="1"/>
    </xf>
    <xf numFmtId="0" fontId="19" fillId="87" borderId="61" xfId="0" applyFont="1" applyFill="1" applyBorder="1" applyAlignment="1">
      <alignment wrapText="1"/>
    </xf>
    <xf numFmtId="0" fontId="19" fillId="85" borderId="57" xfId="0" applyFont="1" applyFill="1" applyBorder="1" applyAlignment="1">
      <alignment wrapText="1"/>
    </xf>
    <xf numFmtId="0" fontId="19" fillId="46" borderId="37" xfId="0" applyFont="1" applyFill="1" applyBorder="1" applyAlignment="1">
      <alignment wrapText="1"/>
    </xf>
    <xf numFmtId="0" fontId="19" fillId="0" borderId="126" xfId="0" applyFont="1" applyBorder="1" applyAlignment="1">
      <alignment wrapText="1"/>
    </xf>
    <xf numFmtId="0" fontId="19" fillId="0" borderId="117" xfId="0" applyFont="1" applyBorder="1" applyAlignment="1">
      <alignment wrapText="1"/>
    </xf>
    <xf numFmtId="0" fontId="20" fillId="36" borderId="28" xfId="0" applyFont="1" applyFill="1" applyBorder="1" applyAlignment="1">
      <alignment vertical="top" wrapText="1"/>
    </xf>
    <xf numFmtId="0" fontId="20" fillId="82" borderId="56" xfId="0" applyFont="1" applyFill="1" applyBorder="1" applyAlignment="1">
      <alignment vertical="top" wrapText="1"/>
    </xf>
    <xf numFmtId="0" fontId="20" fillId="33" borderId="25" xfId="0" applyFont="1" applyFill="1" applyBorder="1" applyAlignment="1">
      <alignment vertical="top" wrapText="1"/>
    </xf>
    <xf numFmtId="0" fontId="19" fillId="126" borderId="99" xfId="0" applyFont="1" applyFill="1" applyBorder="1" applyAlignment="1">
      <alignment vertical="top" wrapText="1"/>
    </xf>
    <xf numFmtId="0" fontId="19" fillId="0" borderId="112" xfId="0" applyFont="1" applyBorder="1" applyAlignment="1">
      <alignment wrapText="1"/>
    </xf>
    <xf numFmtId="0" fontId="19" fillId="0" borderId="58" xfId="0" applyFont="1" applyBorder="1" applyAlignment="1">
      <alignment wrapText="1"/>
    </xf>
    <xf numFmtId="0" fontId="20" fillId="105" borderId="83" xfId="0" applyFont="1" applyFill="1" applyBorder="1" applyAlignment="1">
      <alignment wrapText="1"/>
    </xf>
    <xf numFmtId="0" fontId="19" fillId="116" borderId="90" xfId="0" applyFont="1" applyFill="1" applyBorder="1" applyAlignment="1">
      <alignment wrapText="1"/>
    </xf>
    <xf numFmtId="0" fontId="19" fillId="97" borderId="73" xfId="0" applyFont="1" applyFill="1" applyBorder="1" applyAlignment="1">
      <alignment wrapText="1"/>
    </xf>
    <xf numFmtId="0" fontId="19" fillId="123" borderId="117" xfId="0" applyFont="1" applyFill="1" applyBorder="1" applyAlignment="1">
      <alignment wrapText="1"/>
    </xf>
    <xf numFmtId="0" fontId="20" fillId="98" borderId="74" xfId="0" applyFont="1" applyFill="1" applyBorder="1" applyAlignment="1">
      <alignment horizontal="left" wrapText="1"/>
    </xf>
    <xf numFmtId="0" fontId="20" fillId="86" borderId="59" xfId="0" applyFont="1" applyFill="1" applyBorder="1" applyAlignment="1">
      <alignment horizontal="left" wrapText="1"/>
    </xf>
    <xf numFmtId="0" fontId="20" fillId="53" borderId="40" xfId="0" applyNumberFormat="1" applyFont="1" applyFill="1" applyBorder="1" applyAlignment="1">
      <alignment horizontal="left" wrapText="1"/>
    </xf>
    <xf numFmtId="0" fontId="20" fillId="149" borderId="125" xfId="0" applyFont="1" applyFill="1" applyBorder="1" applyAlignment="1">
      <alignment horizontal="center" wrapText="1"/>
    </xf>
    <xf numFmtId="0" fontId="20" fillId="93" borderId="68" xfId="0" applyFont="1" applyFill="1" applyBorder="1" applyAlignment="1">
      <alignment horizontal="center" wrapText="1"/>
    </xf>
    <xf numFmtId="0" fontId="20" fillId="29" borderId="22" xfId="0" applyFont="1" applyFill="1" applyBorder="1" applyAlignment="1">
      <alignment vertical="top" wrapText="1"/>
    </xf>
    <xf numFmtId="0" fontId="20" fillId="0" borderId="64" xfId="0" applyFont="1" applyBorder="1" applyAlignment="1">
      <alignment vertical="top" wrapText="1"/>
    </xf>
    <xf numFmtId="0" fontId="20" fillId="44" borderId="36" xfId="0" applyFont="1" applyFill="1" applyBorder="1" applyAlignment="1">
      <alignment horizontal="left" vertical="top" wrapText="1"/>
    </xf>
    <xf numFmtId="0" fontId="20" fillId="94" borderId="71" xfId="0" applyFont="1" applyFill="1" applyBorder="1" applyAlignment="1">
      <alignment horizontal="left" vertical="top" wrapText="1"/>
    </xf>
    <xf numFmtId="0" fontId="20" fillId="60" borderId="44" xfId="0" applyFont="1" applyFill="1" applyBorder="1" applyAlignment="1">
      <alignment horizontal="left" vertical="top" wrapText="1"/>
    </xf>
    <xf numFmtId="0" fontId="20" fillId="65" borderId="47" xfId="0" applyFont="1" applyFill="1" applyBorder="1" applyAlignment="1">
      <alignment horizontal="left" vertical="top" wrapText="1"/>
    </xf>
    <xf numFmtId="0" fontId="20" fillId="132" borderId="107" xfId="0" applyFont="1" applyFill="1" applyBorder="1" applyAlignment="1">
      <alignment horizontal="left" vertical="top" wrapText="1"/>
    </xf>
    <xf numFmtId="0" fontId="19" fillId="0" borderId="123" xfId="0" applyFont="1" applyBorder="1" applyAlignment="1">
      <alignment horizontal="left" vertical="top" wrapText="1"/>
    </xf>
    <xf numFmtId="0" fontId="19" fillId="0" borderId="103" xfId="0" applyFont="1" applyBorder="1" applyAlignment="1">
      <alignment horizontal="left" vertical="top" wrapText="1"/>
    </xf>
    <xf numFmtId="0" fontId="20" fillId="107" borderId="127" xfId="0" applyFont="1" applyFill="1" applyBorder="1" applyAlignment="1">
      <alignment horizontal="left" wrapText="1"/>
    </xf>
    <xf numFmtId="0" fontId="20" fillId="107" borderId="102" xfId="0" applyFont="1" applyFill="1" applyBorder="1" applyAlignment="1">
      <alignment horizontal="left" wrapText="1"/>
    </xf>
    <xf numFmtId="0" fontId="20" fillId="107" borderId="93" xfId="0" applyFont="1" applyFill="1" applyBorder="1" applyAlignment="1">
      <alignment horizontal="left" wrapText="1"/>
    </xf>
    <xf numFmtId="0" fontId="20" fillId="20" borderId="16" xfId="0" applyFont="1" applyFill="1" applyBorder="1" applyAlignment="1">
      <alignment horizontal="left" wrapText="1"/>
    </xf>
    <xf numFmtId="0" fontId="20" fillId="0" borderId="66" xfId="0" applyNumberFormat="1" applyFont="1" applyBorder="1" applyAlignment="1">
      <alignment horizontal="left" vertical="top"/>
    </xf>
    <xf numFmtId="0" fontId="19" fillId="139" borderId="117" xfId="0" applyFont="1" applyFill="1" applyBorder="1" applyAlignment="1">
      <alignment horizontal="right" wrapText="1"/>
    </xf>
    <xf numFmtId="0" fontId="19" fillId="139" borderId="120" xfId="0" applyFont="1" applyFill="1" applyBorder="1" applyAlignment="1">
      <alignment horizontal="right" wrapText="1"/>
    </xf>
    <xf numFmtId="0" fontId="20" fillId="27" borderId="20" xfId="0" applyFont="1" applyFill="1" applyBorder="1" applyAlignment="1">
      <alignment horizontal="left" wrapText="1"/>
    </xf>
    <xf numFmtId="0" fontId="20" fillId="49" borderId="38" xfId="0" applyFont="1" applyFill="1" applyBorder="1" applyAlignment="1">
      <alignment horizontal="left" wrapText="1"/>
    </xf>
    <xf numFmtId="0" fontId="20" fillId="0" borderId="50" xfId="0" applyNumberFormat="1" applyFont="1" applyBorder="1" applyAlignment="1">
      <alignment horizontal="left" vertical="top"/>
    </xf>
    <xf numFmtId="0" fontId="20" fillId="11" borderId="7" xfId="0" applyFont="1" applyFill="1" applyBorder="1" applyAlignment="1">
      <alignment horizontal="left" wrapText="1"/>
    </xf>
    <xf numFmtId="0" fontId="20" fillId="103" borderId="81" xfId="0" applyFont="1" applyFill="1" applyBorder="1" applyAlignment="1">
      <alignment horizontal="left" vertical="top" wrapText="1"/>
    </xf>
    <xf numFmtId="0" fontId="25" fillId="48" borderId="97" xfId="0" applyFont="1" applyFill="1" applyBorder="1" applyAlignment="1">
      <alignment horizontal="left" wrapText="1"/>
    </xf>
    <xf numFmtId="0" fontId="25" fillId="48" borderId="124" xfId="0" applyFont="1" applyFill="1" applyBorder="1" applyAlignment="1">
      <alignment horizontal="left" wrapText="1"/>
    </xf>
    <xf numFmtId="0" fontId="12" fillId="0" borderId="0" xfId="0" applyFont="1" applyAlignment="1">
      <alignment wrapText="1"/>
    </xf>
    <xf numFmtId="0" fontId="0" fillId="0" borderId="0" xfId="0" applyAlignment="1">
      <alignment wrapText="1"/>
    </xf>
    <xf numFmtId="0" fontId="16" fillId="121" borderId="0" xfId="0" applyFont="1" applyFill="1" applyAlignment="1">
      <alignment wrapText="1"/>
    </xf>
    <xf numFmtId="0" fontId="11" fillId="0" borderId="0" xfId="0" applyFont="1" applyAlignment="1">
      <alignment wrapText="1"/>
    </xf>
    <xf numFmtId="0" fontId="34" fillId="58" borderId="42" xfId="0" applyFont="1" applyFill="1" applyBorder="1" applyAlignment="1">
      <alignment wrapText="1"/>
    </xf>
    <xf numFmtId="0" fontId="19" fillId="51" borderId="60" xfId="0" applyFont="1" applyFill="1" applyBorder="1" applyAlignment="1">
      <alignment horizontal="center" wrapText="1"/>
    </xf>
    <xf numFmtId="0" fontId="19" fillId="58" borderId="42" xfId="0" applyFont="1" applyFill="1" applyBorder="1" applyAlignment="1">
      <alignment wrapText="1"/>
    </xf>
    <xf numFmtId="0" fontId="19" fillId="58" borderId="42" xfId="0" applyFont="1" applyFill="1" applyBorder="1" applyAlignment="1">
      <alignment wrapText="1"/>
    </xf>
    <xf numFmtId="0" fontId="19" fillId="135" borderId="108" xfId="0" applyFont="1" applyFill="1" applyBorder="1" applyAlignment="1">
      <alignment horizontal="right" wrapText="1"/>
    </xf>
    <xf numFmtId="0" fontId="20" fillId="15" borderId="11" xfId="0" applyFont="1" applyFill="1" applyBorder="1" applyAlignment="1">
      <alignment wrapText="1"/>
    </xf>
    <xf numFmtId="0" fontId="20" fillId="77" borderId="51" xfId="0" applyFont="1" applyFill="1" applyBorder="1" applyAlignment="1">
      <alignment wrapText="1"/>
    </xf>
    <xf numFmtId="0" fontId="19" fillId="62" borderId="45" xfId="0" applyFont="1" applyFill="1" applyBorder="1" applyAlignment="1">
      <alignment wrapText="1"/>
    </xf>
    <xf numFmtId="0" fontId="19" fillId="80" borderId="123" xfId="0" applyFont="1" applyFill="1" applyBorder="1" applyAlignment="1">
      <alignment wrapText="1"/>
    </xf>
    <xf numFmtId="0" fontId="19" fillId="146" borderId="115" xfId="0" applyFont="1" applyFill="1" applyBorder="1" applyAlignment="1">
      <alignment wrapText="1"/>
    </xf>
    <xf numFmtId="0" fontId="19" fillId="91" borderId="100" xfId="0" applyFont="1" applyFill="1" applyBorder="1" applyAlignment="1">
      <alignment wrapText="1"/>
    </xf>
    <xf numFmtId="0" fontId="20" fillId="149" borderId="111" xfId="0" applyFont="1" applyFill="1" applyBorder="1" applyAlignment="1">
      <alignment wrapText="1"/>
    </xf>
    <xf numFmtId="0" fontId="20" fillId="149" borderId="122" xfId="0" applyFont="1" applyFill="1" applyBorder="1" applyAlignment="1">
      <alignment wrapText="1"/>
    </xf>
    <xf numFmtId="0" fontId="20" fillId="149" borderId="98" xfId="0" applyFont="1" applyFill="1" applyBorder="1" applyAlignment="1">
      <alignment wrapText="1"/>
    </xf>
    <xf numFmtId="0" fontId="20" fillId="149" borderId="75" xfId="0" applyFont="1" applyFill="1" applyBorder="1" applyAlignment="1">
      <alignment wrapText="1"/>
    </xf>
    <xf numFmtId="0" fontId="20" fillId="122" borderId="114" xfId="0" applyFont="1" applyFill="1" applyBorder="1" applyAlignment="1">
      <alignment horizontal="right" wrapText="1"/>
    </xf>
    <xf numFmtId="0" fontId="22" fillId="113" borderId="114" xfId="0" applyFont="1" applyFill="1" applyBorder="1" applyAlignment="1">
      <alignment horizontal="right" wrapText="1"/>
    </xf>
    <xf numFmtId="0" fontId="35" fillId="63" borderId="120" xfId="0" applyFont="1" applyFill="1" applyBorder="1" applyAlignment="1">
      <alignment wrapText="1"/>
    </xf>
    <xf numFmtId="0" fontId="22" fillId="131" borderId="106" xfId="0" applyFont="1" applyFill="1" applyBorder="1" applyAlignment="1">
      <alignment horizontal="center" wrapText="1"/>
    </xf>
    <xf numFmtId="0" fontId="20" fillId="15" borderId="11" xfId="0" applyFont="1" applyFill="1" applyBorder="1" applyAlignment="1">
      <alignment wrapText="1"/>
    </xf>
    <xf numFmtId="0" fontId="20" fillId="115" borderId="89" xfId="0" applyFont="1" applyFill="1" applyBorder="1" applyAlignment="1">
      <alignment horizontal="center" wrapText="1"/>
    </xf>
    <xf numFmtId="0" fontId="20" fillId="42" borderId="34" xfId="0" applyFont="1" applyFill="1" applyBorder="1" applyAlignment="1">
      <alignment wrapText="1"/>
    </xf>
    <xf numFmtId="0" fontId="20" fillId="142" borderId="113" xfId="0" applyFont="1" applyFill="1" applyBorder="1" applyAlignment="1">
      <alignment horizontal="right" wrapText="1"/>
    </xf>
    <xf numFmtId="0" fontId="20" fillId="56" borderId="60" xfId="0" applyFont="1" applyFill="1" applyBorder="1" applyAlignment="1">
      <alignment horizontal="right" wrapText="1"/>
    </xf>
    <xf numFmtId="0" fontId="20" fillId="115" borderId="60" xfId="0" applyFont="1" applyFill="1" applyBorder="1" applyAlignment="1">
      <alignment horizontal="center" wrapText="1"/>
    </xf>
    <xf numFmtId="0" fontId="20" fillId="32" borderId="60" xfId="0" applyFont="1" applyFill="1" applyBorder="1" applyAlignment="1">
      <alignment horizontal="center" wrapText="1"/>
    </xf>
    <xf numFmtId="0" fontId="20" fillId="134" borderId="115" xfId="0" applyFont="1" applyFill="1" applyBorder="1" applyAlignment="1">
      <alignment horizontal="center" wrapText="1"/>
    </xf>
    <xf numFmtId="0" fontId="20" fillId="75" borderId="111" xfId="0" applyFont="1" applyFill="1" applyBorder="1" applyAlignment="1">
      <alignment horizontal="center" wrapText="1"/>
    </xf>
    <xf numFmtId="0" fontId="20" fillId="127" borderId="114" xfId="0" applyFont="1" applyFill="1" applyBorder="1" applyAlignment="1">
      <alignment horizontal="right" wrapText="1"/>
    </xf>
    <xf numFmtId="0" fontId="22" fillId="89" borderId="63" xfId="0" applyFont="1" applyFill="1" applyBorder="1" applyAlignment="1">
      <alignment horizontal="center" wrapText="1"/>
    </xf>
    <xf numFmtId="0" fontId="24" fillId="43" borderId="35" xfId="0" applyFont="1" applyFill="1" applyBorder="1" applyAlignment="1">
      <alignment wrapText="1"/>
    </xf>
    <xf numFmtId="0" fontId="36" fillId="144" borderId="116" xfId="0" applyFont="1" applyFill="1" applyBorder="1" applyAlignment="1">
      <alignment horizontal="center" wrapText="1"/>
    </xf>
    <xf numFmtId="0" fontId="20" fillId="79" borderId="54" xfId="0" quotePrefix="1" applyFont="1" applyFill="1" applyBorder="1" applyAlignment="1">
      <alignment horizontal="center" wrapText="1"/>
    </xf>
    <xf numFmtId="0" fontId="20" fillId="81" borderId="55" xfId="0" applyFont="1" applyFill="1" applyBorder="1" applyAlignment="1">
      <alignment horizontal="right" wrapText="1"/>
    </xf>
    <xf numFmtId="0" fontId="20" fillId="14" borderId="10" xfId="0" applyFont="1" applyFill="1" applyBorder="1" applyAlignment="1">
      <alignment horizontal="right" wrapText="1"/>
    </xf>
    <xf numFmtId="0" fontId="20" fillId="114" borderId="88" xfId="0" applyFont="1" applyFill="1" applyBorder="1" applyAlignment="1">
      <alignment horizontal="center" wrapText="1"/>
    </xf>
    <xf numFmtId="0" fontId="20" fillId="61" borderId="114" xfId="0" applyNumberFormat="1" applyFont="1" applyFill="1" applyBorder="1" applyAlignment="1">
      <alignment horizontal="right" wrapText="1"/>
    </xf>
    <xf numFmtId="0" fontId="20" fillId="117" borderId="120" xfId="0" applyFont="1" applyFill="1" applyBorder="1" applyAlignment="1">
      <alignment wrapText="1"/>
    </xf>
    <xf numFmtId="0" fontId="36" fillId="92" borderId="67" xfId="0" applyFont="1" applyFill="1" applyBorder="1" applyAlignment="1">
      <alignment horizontal="center" wrapText="1"/>
    </xf>
    <xf numFmtId="0" fontId="24" fillId="71" borderId="48" xfId="0" applyFont="1" applyFill="1" applyBorder="1" applyAlignment="1">
      <alignment wrapText="1"/>
    </xf>
    <xf numFmtId="0" fontId="20" fillId="81" borderId="115" xfId="0" applyFont="1" applyFill="1" applyBorder="1" applyAlignment="1">
      <alignment horizontal="right" wrapText="1"/>
    </xf>
    <xf numFmtId="0" fontId="20" fillId="14" borderId="100" xfId="0" applyFont="1" applyFill="1" applyBorder="1" applyAlignment="1">
      <alignment horizontal="right" wrapText="1"/>
    </xf>
    <xf numFmtId="0" fontId="20" fillId="114" borderId="115" xfId="0" applyFont="1" applyFill="1" applyBorder="1" applyAlignment="1">
      <alignment horizontal="center" wrapText="1"/>
    </xf>
    <xf numFmtId="0" fontId="20" fillId="47" borderId="114" xfId="0" applyNumberFormat="1" applyFont="1" applyFill="1" applyBorder="1" applyAlignment="1">
      <alignment horizontal="right" wrapText="1"/>
    </xf>
    <xf numFmtId="0" fontId="20" fillId="104" borderId="114" xfId="0" applyFont="1" applyFill="1" applyBorder="1" applyAlignment="1">
      <alignment horizontal="right" wrapText="1"/>
    </xf>
    <xf numFmtId="0" fontId="20" fillId="110" borderId="120" xfId="0" applyNumberFormat="1" applyFont="1" applyFill="1" applyBorder="1" applyAlignment="1">
      <alignment wrapText="1"/>
    </xf>
    <xf numFmtId="0" fontId="36" fillId="100" borderId="77" xfId="0" applyNumberFormat="1" applyFont="1" applyFill="1" applyBorder="1" applyAlignment="1">
      <alignment horizontal="center" wrapText="1"/>
    </xf>
    <xf numFmtId="0" fontId="20" fillId="79" borderId="54" xfId="0" applyFont="1" applyFill="1" applyBorder="1" applyAlignment="1">
      <alignment horizontal="center" wrapText="1"/>
    </xf>
    <xf numFmtId="0" fontId="20" fillId="39" borderId="128" xfId="0" applyFont="1" applyFill="1" applyBorder="1" applyAlignment="1">
      <alignment horizontal="left" wrapText="1"/>
    </xf>
    <xf numFmtId="0" fontId="20" fillId="39" borderId="108" xfId="0" applyFont="1" applyFill="1" applyBorder="1" applyAlignment="1">
      <alignment horizontal="left" wrapText="1"/>
    </xf>
    <xf numFmtId="0" fontId="20" fillId="114" borderId="108" xfId="0" applyFont="1" applyFill="1" applyBorder="1" applyAlignment="1">
      <alignment horizontal="center" wrapText="1"/>
    </xf>
    <xf numFmtId="0" fontId="20" fillId="120" borderId="108" xfId="0" applyFont="1" applyFill="1" applyBorder="1" applyAlignment="1">
      <alignment horizontal="right" wrapText="1"/>
    </xf>
    <xf numFmtId="0" fontId="36" fillId="25" borderId="3" xfId="0" applyFont="1" applyFill="1" applyBorder="1" applyAlignment="1">
      <alignment horizontal="left" wrapText="1"/>
    </xf>
    <xf numFmtId="0" fontId="20" fillId="67" borderId="27" xfId="0" applyFont="1" applyFill="1" applyBorder="1" applyAlignment="1">
      <alignment horizontal="right" wrapText="1"/>
    </xf>
    <xf numFmtId="0" fontId="20" fillId="3" borderId="129" xfId="0" applyFont="1" applyFill="1" applyBorder="1" applyAlignment="1">
      <alignment horizontal="right" wrapText="1"/>
    </xf>
    <xf numFmtId="0" fontId="20" fillId="128" borderId="85" xfId="0" applyNumberFormat="1" applyFont="1" applyFill="1" applyBorder="1" applyAlignment="1">
      <alignment horizontal="left" wrapText="1"/>
    </xf>
    <xf numFmtId="0" fontId="20" fillId="28" borderId="21" xfId="0" applyFont="1" applyFill="1" applyBorder="1" applyAlignment="1">
      <alignment horizontal="left" wrapText="1"/>
    </xf>
    <xf numFmtId="0" fontId="20" fillId="8" borderId="115" xfId="0" applyNumberFormat="1" applyFont="1" applyFill="1" applyBorder="1" applyAlignment="1">
      <alignment horizontal="right" wrapText="1"/>
    </xf>
    <xf numFmtId="0" fontId="20" fillId="120" borderId="115" xfId="0" applyFont="1" applyFill="1" applyBorder="1" applyAlignment="1">
      <alignment horizontal="right" wrapText="1"/>
    </xf>
    <xf numFmtId="0" fontId="20" fillId="50" borderId="39" xfId="0" applyFont="1" applyFill="1" applyBorder="1" applyAlignment="1">
      <alignment horizontal="left" wrapText="1"/>
    </xf>
    <xf numFmtId="0" fontId="32" fillId="151" borderId="80" xfId="0" applyFont="1" applyFill="1" applyBorder="1" applyAlignment="1">
      <alignment wrapText="1"/>
    </xf>
    <xf numFmtId="0" fontId="20" fillId="10" borderId="131" xfId="0" applyFont="1" applyFill="1" applyBorder="1" applyAlignment="1">
      <alignment horizontal="right" wrapText="1"/>
    </xf>
    <xf numFmtId="0" fontId="20" fillId="10" borderId="87" xfId="0" applyFont="1" applyFill="1" applyBorder="1" applyAlignment="1">
      <alignment horizontal="right" wrapText="1"/>
    </xf>
    <xf numFmtId="0" fontId="20" fillId="84" borderId="114" xfId="0" applyNumberFormat="1" applyFont="1" applyFill="1" applyBorder="1" applyAlignment="1">
      <alignment horizontal="left" wrapText="1"/>
    </xf>
    <xf numFmtId="0" fontId="20" fillId="66" borderId="130" xfId="0" applyNumberFormat="1" applyFont="1" applyFill="1" applyBorder="1" applyAlignment="1">
      <alignment wrapText="1"/>
    </xf>
    <xf numFmtId="0" fontId="20" fillId="0" borderId="109" xfId="0" applyNumberFormat="1" applyFont="1" applyBorder="1" applyAlignment="1">
      <alignment wrapText="1"/>
    </xf>
    <xf numFmtId="0" fontId="20" fillId="7" borderId="5" xfId="0" applyFont="1" applyFill="1" applyBorder="1" applyAlignment="1">
      <alignment vertical="top" wrapText="1"/>
    </xf>
    <xf numFmtId="0" fontId="20" fillId="90" borderId="65" xfId="0" applyFont="1" applyFill="1" applyBorder="1" applyAlignment="1">
      <alignment vertical="top" wrapText="1"/>
    </xf>
    <xf numFmtId="0" fontId="20" fillId="30" borderId="23" xfId="0" applyNumberFormat="1" applyFont="1" applyFill="1" applyBorder="1" applyAlignment="1">
      <alignment vertical="top" wrapText="1"/>
    </xf>
    <xf numFmtId="0" fontId="19" fillId="12" borderId="8" xfId="0" applyFont="1" applyFill="1" applyBorder="1" applyAlignment="1">
      <alignment vertical="top" wrapText="1"/>
    </xf>
    <xf numFmtId="0" fontId="20" fillId="130" borderId="105" xfId="0" applyFont="1" applyFill="1" applyBorder="1" applyAlignment="1">
      <alignment horizontal="right" wrapText="1"/>
    </xf>
    <xf numFmtId="0" fontId="19" fillId="62" borderId="123" xfId="0" applyFont="1" applyFill="1" applyBorder="1" applyAlignment="1">
      <alignment wrapText="1"/>
    </xf>
    <xf numFmtId="0" fontId="37" fillId="0" borderId="0" xfId="0" applyFont="1" applyAlignment="1">
      <alignment wrapText="1"/>
    </xf>
    <xf numFmtId="0" fontId="20" fillId="108" borderId="91" xfId="0" applyFont="1" applyFill="1" applyBorder="1" applyAlignment="1">
      <alignment wrapText="1"/>
    </xf>
    <xf numFmtId="0" fontId="20" fillId="108" borderId="102" xfId="0" applyFont="1" applyFill="1" applyBorder="1" applyAlignment="1">
      <alignment wrapText="1"/>
    </xf>
    <xf numFmtId="0" fontId="20" fillId="21" borderId="70" xfId="0" applyFont="1" applyFill="1" applyBorder="1" applyAlignment="1">
      <alignment wrapText="1"/>
    </xf>
    <xf numFmtId="0" fontId="20" fillId="45" borderId="70" xfId="0" applyFont="1" applyFill="1" applyBorder="1" applyAlignment="1">
      <alignment horizontal="right" wrapText="1"/>
    </xf>
    <xf numFmtId="0" fontId="20" fillId="52" borderId="91" xfId="0" applyNumberFormat="1" applyFont="1" applyFill="1" applyBorder="1" applyAlignment="1">
      <alignment wrapText="1"/>
    </xf>
    <xf numFmtId="0" fontId="20" fillId="52" borderId="102" xfId="0" applyNumberFormat="1" applyFont="1" applyFill="1" applyBorder="1" applyAlignment="1">
      <alignment wrapText="1"/>
    </xf>
    <xf numFmtId="0" fontId="20" fillId="52" borderId="70" xfId="0" applyNumberFormat="1" applyFont="1" applyFill="1" applyBorder="1" applyAlignment="1">
      <alignment wrapText="1"/>
    </xf>
    <xf numFmtId="0" fontId="20" fillId="109" borderId="118" xfId="0" applyFont="1" applyFill="1" applyBorder="1" applyAlignment="1">
      <alignment wrapText="1"/>
    </xf>
    <xf numFmtId="0" fontId="20" fillId="143" borderId="114" xfId="0" applyFont="1" applyFill="1" applyBorder="1" applyAlignment="1">
      <alignment horizontal="right" wrapText="1"/>
    </xf>
    <xf numFmtId="0" fontId="20" fillId="129" borderId="114" xfId="0" applyFont="1" applyFill="1" applyBorder="1" applyAlignment="1">
      <alignment horizontal="right" wrapText="1"/>
    </xf>
    <xf numFmtId="0" fontId="20" fillId="2" borderId="114" xfId="0" applyFont="1" applyFill="1" applyBorder="1" applyAlignment="1">
      <alignment horizontal="left" wrapText="1"/>
    </xf>
    <xf numFmtId="0" fontId="20" fillId="108" borderId="91" xfId="0" applyFont="1" applyFill="1" applyBorder="1" applyAlignment="1">
      <alignment wrapText="1"/>
    </xf>
    <xf numFmtId="0" fontId="20" fillId="108" borderId="102" xfId="0" applyFont="1" applyFill="1" applyBorder="1" applyAlignment="1">
      <alignment wrapText="1"/>
    </xf>
    <xf numFmtId="0" fontId="20" fillId="108" borderId="70" xfId="0" applyFont="1" applyFill="1" applyBorder="1" applyAlignment="1">
      <alignment wrapText="1"/>
    </xf>
    <xf numFmtId="0" fontId="20" fillId="152" borderId="91" xfId="0" applyFont="1" applyFill="1" applyBorder="1" applyAlignment="1">
      <alignment horizontal="left" vertical="center" wrapText="1"/>
    </xf>
    <xf numFmtId="0" fontId="20" fillId="152" borderId="102" xfId="0" applyFont="1" applyFill="1" applyBorder="1" applyAlignment="1">
      <alignment horizontal="left" vertical="center" wrapText="1"/>
    </xf>
    <xf numFmtId="0" fontId="20" fillId="152" borderId="70" xfId="0" applyFont="1" applyFill="1" applyBorder="1" applyAlignment="1">
      <alignment horizontal="left" vertical="center" wrapText="1"/>
    </xf>
    <xf numFmtId="0" fontId="20" fillId="137" borderId="114" xfId="0" applyFont="1" applyFill="1" applyBorder="1" applyAlignment="1">
      <alignment horizontal="center" wrapText="1"/>
    </xf>
    <xf numFmtId="0" fontId="20" fillId="31" borderId="114" xfId="0" applyFont="1" applyFill="1" applyBorder="1" applyAlignment="1">
      <alignment horizontal="right" vertical="center" wrapText="1"/>
    </xf>
    <xf numFmtId="0" fontId="20" fillId="55" borderId="114" xfId="0" applyFont="1" applyFill="1" applyBorder="1" applyAlignment="1">
      <alignment horizontal="center" wrapText="1"/>
    </xf>
    <xf numFmtId="0" fontId="20" fillId="108" borderId="0" xfId="0" applyFont="1" applyFill="1" applyBorder="1" applyAlignment="1">
      <alignment wrapText="1"/>
    </xf>
    <xf numFmtId="0" fontId="22" fillId="119" borderId="114" xfId="0" applyFont="1" applyFill="1" applyBorder="1" applyAlignment="1">
      <alignment horizontal="center" wrapText="1"/>
    </xf>
    <xf numFmtId="0" fontId="20" fillId="43" borderId="91" xfId="0" applyFont="1" applyFill="1" applyBorder="1" applyAlignment="1">
      <alignment horizontal="left" vertical="center" wrapText="1"/>
    </xf>
    <xf numFmtId="0" fontId="20" fillId="43" borderId="70" xfId="0" applyFont="1" applyFill="1" applyBorder="1" applyAlignment="1">
      <alignment horizontal="left" vertical="center" wrapText="1"/>
    </xf>
    <xf numFmtId="0" fontId="20" fillId="125" borderId="114" xfId="0" applyFont="1" applyFill="1" applyBorder="1" applyAlignment="1">
      <alignment horizontal="left" vertical="center" wrapText="1"/>
    </xf>
    <xf numFmtId="0" fontId="22" fillId="152" borderId="114" xfId="0" applyFont="1" applyFill="1" applyBorder="1" applyAlignment="1">
      <alignment horizontal="right" vertical="center" wrapText="1"/>
    </xf>
    <xf numFmtId="0" fontId="20" fillId="43" borderId="91" xfId="0" applyFont="1" applyFill="1" applyBorder="1" applyAlignment="1">
      <alignment vertical="center" wrapText="1"/>
    </xf>
    <xf numFmtId="0" fontId="20" fillId="43" borderId="102" xfId="0" applyFont="1" applyFill="1" applyBorder="1" applyAlignment="1">
      <alignment vertical="center" wrapText="1"/>
    </xf>
    <xf numFmtId="0" fontId="20" fillId="43" borderId="70" xfId="0" applyFont="1" applyFill="1" applyBorder="1" applyAlignment="1">
      <alignment vertical="center" wrapText="1"/>
    </xf>
    <xf numFmtId="0" fontId="20" fillId="152" borderId="91" xfId="0" applyFont="1" applyFill="1" applyBorder="1" applyAlignment="1">
      <alignment horizontal="right" vertical="center" wrapText="1"/>
    </xf>
    <xf numFmtId="0" fontId="20" fillId="152" borderId="70" xfId="0" applyFont="1" applyFill="1" applyBorder="1" applyAlignment="1">
      <alignment horizontal="right" vertical="center" wrapText="1"/>
    </xf>
    <xf numFmtId="0" fontId="20" fillId="0" borderId="33" xfId="0" applyFont="1" applyBorder="1" applyAlignment="1">
      <alignment wrapText="1"/>
    </xf>
    <xf numFmtId="0" fontId="20" fillId="45" borderId="114" xfId="0" applyFont="1" applyFill="1" applyBorder="1" applyAlignment="1">
      <alignment horizontal="right" wrapText="1"/>
    </xf>
    <xf numFmtId="0" fontId="20" fillId="109" borderId="132" xfId="0" applyFont="1" applyFill="1" applyBorder="1" applyAlignment="1">
      <alignment wrapText="1"/>
    </xf>
    <xf numFmtId="0" fontId="20" fillId="83" borderId="91" xfId="0" applyFont="1" applyFill="1" applyBorder="1" applyAlignment="1">
      <alignment horizontal="right" vertical="center" wrapText="1"/>
    </xf>
    <xf numFmtId="0" fontId="20" fillId="83" borderId="70" xfId="0" applyFont="1" applyFill="1" applyBorder="1" applyAlignment="1">
      <alignment horizontal="right" vertical="center" wrapText="1"/>
    </xf>
    <xf numFmtId="0" fontId="20" fillId="136" borderId="114" xfId="0" applyFont="1" applyFill="1" applyBorder="1" applyAlignment="1">
      <alignment wrapText="1"/>
    </xf>
    <xf numFmtId="0" fontId="20" fillId="34" borderId="114" xfId="0" applyFont="1" applyFill="1" applyBorder="1" applyAlignment="1">
      <alignment horizontal="left" wrapText="1"/>
    </xf>
    <xf numFmtId="0" fontId="20" fillId="5" borderId="114" xfId="0" applyFont="1" applyFill="1" applyBorder="1" applyAlignment="1">
      <alignment wrapText="1"/>
    </xf>
    <xf numFmtId="0" fontId="20" fillId="138" borderId="114" xfId="0" applyFont="1" applyFill="1" applyBorder="1" applyAlignment="1">
      <alignment horizontal="left" wrapText="1"/>
    </xf>
    <xf numFmtId="0" fontId="20" fillId="35" borderId="26" xfId="0" applyFont="1" applyFill="1" applyBorder="1" applyAlignment="1">
      <alignment wrapText="1"/>
    </xf>
    <xf numFmtId="0" fontId="20" fillId="140" borderId="118" xfId="0" applyFont="1" applyFill="1" applyBorder="1" applyAlignment="1">
      <alignment horizontal="center" wrapText="1"/>
    </xf>
    <xf numFmtId="0" fontId="20" fillId="43" borderId="43" xfId="0" applyFont="1" applyFill="1" applyBorder="1" applyAlignment="1">
      <alignment horizontal="left" vertical="center" wrapText="1"/>
    </xf>
    <xf numFmtId="0" fontId="20" fillId="125" borderId="137" xfId="0" applyFont="1" applyFill="1" applyBorder="1" applyAlignment="1">
      <alignment horizontal="left" vertical="center" wrapText="1"/>
    </xf>
    <xf numFmtId="0" fontId="22" fillId="152" borderId="137" xfId="0" applyFont="1" applyFill="1" applyBorder="1" applyAlignment="1">
      <alignment horizontal="right" vertical="center" wrapText="1"/>
    </xf>
    <xf numFmtId="0" fontId="20" fillId="43" borderId="97" xfId="0" applyFont="1" applyFill="1" applyBorder="1" applyAlignment="1">
      <alignment vertical="center" wrapText="1"/>
    </xf>
    <xf numFmtId="0" fontId="20" fillId="43" borderId="124" xfId="0" applyFont="1" applyFill="1" applyBorder="1" applyAlignment="1">
      <alignment vertical="center" wrapText="1"/>
    </xf>
    <xf numFmtId="0" fontId="20" fillId="43" borderId="43" xfId="0" applyFont="1" applyFill="1" applyBorder="1" applyAlignment="1">
      <alignment vertical="center" wrapText="1"/>
    </xf>
    <xf numFmtId="0" fontId="20" fillId="140" borderId="104" xfId="0" applyFont="1" applyFill="1" applyBorder="1" applyAlignment="1">
      <alignment horizontal="center" wrapText="1"/>
    </xf>
    <xf numFmtId="0" fontId="20" fillId="140" borderId="132" xfId="0" applyFont="1" applyFill="1" applyBorder="1" applyAlignment="1">
      <alignment horizontal="center" wrapText="1"/>
    </xf>
    <xf numFmtId="0" fontId="20" fillId="140" borderId="97" xfId="0" applyFont="1" applyFill="1" applyBorder="1" applyAlignment="1">
      <alignment horizontal="center" wrapText="1"/>
    </xf>
    <xf numFmtId="0" fontId="20" fillId="140" borderId="124" xfId="0" applyFont="1" applyFill="1" applyBorder="1" applyAlignment="1">
      <alignment horizontal="center" wrapText="1"/>
    </xf>
    <xf numFmtId="0" fontId="20" fillId="140" borderId="43" xfId="0" applyFont="1" applyFill="1" applyBorder="1" applyAlignment="1">
      <alignment horizontal="center" wrapText="1"/>
    </xf>
    <xf numFmtId="0" fontId="20" fillId="152" borderId="118" xfId="0" applyFont="1" applyFill="1" applyBorder="1" applyAlignment="1">
      <alignment horizontal="left" vertical="center" wrapText="1"/>
    </xf>
    <xf numFmtId="0" fontId="20" fillId="108" borderId="118" xfId="0" applyFont="1" applyFill="1" applyBorder="1" applyAlignment="1">
      <alignment wrapText="1"/>
    </xf>
    <xf numFmtId="0" fontId="20" fillId="108" borderId="132" xfId="0" applyFont="1" applyFill="1" applyBorder="1" applyAlignment="1">
      <alignment wrapText="1"/>
    </xf>
    <xf numFmtId="0" fontId="20" fillId="108" borderId="43" xfId="0" applyFont="1" applyFill="1" applyBorder="1" applyAlignment="1">
      <alignment wrapText="1"/>
    </xf>
    <xf numFmtId="0" fontId="20" fillId="108" borderId="104" xfId="0" applyFont="1" applyFill="1" applyBorder="1" applyAlignment="1">
      <alignment wrapText="1"/>
    </xf>
    <xf numFmtId="0" fontId="38" fillId="40" borderId="114" xfId="0" applyFont="1" applyFill="1" applyBorder="1" applyAlignment="1">
      <alignment horizontal="center" wrapText="1"/>
    </xf>
    <xf numFmtId="0" fontId="0" fillId="0" borderId="0" xfId="0" applyAlignment="1">
      <alignment horizontal="right" wrapText="1"/>
    </xf>
    <xf numFmtId="0" fontId="20" fillId="108" borderId="118" xfId="0" applyFont="1" applyFill="1" applyBorder="1" applyAlignment="1">
      <alignment horizontal="right" wrapText="1"/>
    </xf>
    <xf numFmtId="0" fontId="20" fillId="108" borderId="0" xfId="0" applyFont="1" applyFill="1" applyBorder="1" applyAlignment="1">
      <alignment horizontal="right" wrapText="1"/>
    </xf>
    <xf numFmtId="0" fontId="22" fillId="152" borderId="70" xfId="0" applyFont="1" applyFill="1" applyBorder="1" applyAlignment="1">
      <alignment horizontal="right" vertical="center" wrapText="1"/>
    </xf>
    <xf numFmtId="0" fontId="20" fillId="0" borderId="33" xfId="0" applyFont="1" applyBorder="1" applyAlignment="1">
      <alignment horizontal="right" wrapText="1"/>
    </xf>
    <xf numFmtId="0" fontId="20" fillId="133" borderId="91" xfId="0" applyFont="1" applyFill="1" applyBorder="1" applyAlignment="1">
      <alignment horizontal="right" wrapText="1"/>
    </xf>
    <xf numFmtId="0" fontId="20" fillId="150" borderId="104" xfId="0" applyNumberFormat="1" applyFont="1" applyFill="1" applyBorder="1" applyAlignment="1">
      <alignment horizontal="right" wrapText="1"/>
    </xf>
    <xf numFmtId="0" fontId="20" fillId="150" borderId="132" xfId="0" applyFont="1" applyFill="1" applyBorder="1" applyAlignment="1">
      <alignment horizontal="right" wrapText="1"/>
    </xf>
    <xf numFmtId="0" fontId="20" fillId="84" borderId="100" xfId="0" applyNumberFormat="1" applyFont="1" applyFill="1" applyBorder="1" applyAlignment="1">
      <alignment horizontal="left" wrapText="1"/>
    </xf>
    <xf numFmtId="0" fontId="20" fillId="7" borderId="138" xfId="0" applyFont="1" applyFill="1" applyBorder="1" applyAlignment="1">
      <alignment vertical="top" wrapText="1"/>
    </xf>
    <xf numFmtId="0" fontId="20" fillId="0" borderId="121" xfId="0" applyFont="1" applyBorder="1" applyAlignment="1">
      <alignment wrapText="1"/>
    </xf>
    <xf numFmtId="0" fontId="20" fillId="3" borderId="139" xfId="0" applyFont="1" applyFill="1" applyBorder="1" applyAlignment="1">
      <alignment horizontal="right" wrapText="1"/>
    </xf>
    <xf numFmtId="0" fontId="20" fillId="3" borderId="138" xfId="0" applyFont="1" applyFill="1" applyBorder="1" applyAlignment="1">
      <alignment horizontal="right" wrapText="1"/>
    </xf>
    <xf numFmtId="0" fontId="20" fillId="3" borderId="139" xfId="0" applyFont="1" applyFill="1" applyBorder="1" applyAlignment="1">
      <alignment horizontal="right" wrapText="1"/>
    </xf>
    <xf numFmtId="0" fontId="20" fillId="73" borderId="140" xfId="0" applyFont="1" applyFill="1" applyBorder="1" applyAlignment="1">
      <alignment vertical="top" wrapText="1"/>
    </xf>
    <xf numFmtId="0" fontId="20" fillId="0" borderId="121" xfId="0" applyFont="1" applyBorder="1" applyAlignment="1">
      <alignment vertical="top" wrapText="1"/>
    </xf>
    <xf numFmtId="0" fontId="20" fillId="0" borderId="6" xfId="0" applyFont="1" applyBorder="1" applyAlignment="1">
      <alignment vertical="top" wrapText="1"/>
    </xf>
    <xf numFmtId="0" fontId="20" fillId="67" borderId="91" xfId="0" applyFont="1" applyFill="1" applyBorder="1" applyAlignment="1">
      <alignment horizontal="right" wrapText="1"/>
    </xf>
    <xf numFmtId="0" fontId="20" fillId="67" borderId="102" xfId="0" applyFont="1" applyFill="1" applyBorder="1" applyAlignment="1">
      <alignment horizontal="right" wrapText="1"/>
    </xf>
    <xf numFmtId="0" fontId="20" fillId="13" borderId="102" xfId="0" applyFont="1" applyFill="1" applyBorder="1" applyAlignment="1">
      <alignment horizontal="left" wrapText="1"/>
    </xf>
    <xf numFmtId="0" fontId="20" fillId="41" borderId="102" xfId="0" applyFont="1" applyFill="1" applyBorder="1" applyAlignment="1">
      <alignment horizontal="left" wrapText="1"/>
    </xf>
    <xf numFmtId="0" fontId="20" fillId="68" borderId="70" xfId="0" applyFont="1" applyFill="1" applyBorder="1" applyAlignment="1">
      <alignment horizontal="left" wrapText="1"/>
    </xf>
  </cellXfs>
  <cellStyles count="1">
    <cellStyle name="Normal" xfId="0" builtinId="0"/>
  </cellStyles>
  <dxfs count="1">
    <dxf>
      <font>
        <color rgb="FF000000"/>
      </font>
      <fill>
        <patternFill patternType="solid">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34"/>
  <sheetViews>
    <sheetView tabSelected="1" zoomScale="85" zoomScaleNormal="85" workbookViewId="0">
      <pane ySplit="1" topLeftCell="A2" activePane="bottomLeft" state="frozen"/>
      <selection pane="bottomLeft" activeCell="M13" sqref="M13"/>
    </sheetView>
  </sheetViews>
  <sheetFormatPr defaultColWidth="17.140625" defaultRowHeight="12.75" customHeight="1"/>
  <cols>
    <col min="1" max="1" width="3.42578125" style="21" customWidth="1"/>
    <col min="2" max="2" width="5" style="21" customWidth="1"/>
    <col min="3" max="3" width="3.85546875" style="21" customWidth="1"/>
    <col min="4" max="5" width="5" style="21" customWidth="1"/>
    <col min="6" max="6" width="9.140625" style="21" customWidth="1"/>
    <col min="7" max="7" width="5.5703125" style="21" customWidth="1"/>
    <col min="8" max="8" width="6" style="21" customWidth="1"/>
    <col min="9" max="9" width="6.140625" style="21" customWidth="1"/>
    <col min="10" max="10" width="5.140625" style="21" customWidth="1"/>
    <col min="11" max="11" width="3.5703125" style="21" customWidth="1"/>
    <col min="12" max="12" width="4.85546875" style="21" customWidth="1"/>
    <col min="13" max="13" width="6.42578125" style="21" customWidth="1"/>
    <col min="14" max="14" width="5.42578125" style="21" customWidth="1"/>
    <col min="15" max="15" width="4.28515625" style="21" customWidth="1"/>
    <col min="16" max="16" width="4.42578125" style="21" customWidth="1"/>
    <col min="17" max="17" width="9.5703125" style="21" customWidth="1"/>
    <col min="18" max="18" width="5" style="21" customWidth="1"/>
    <col min="19" max="19" width="5.140625" style="21" customWidth="1"/>
    <col min="20" max="20" width="6.7109375" style="21" customWidth="1"/>
    <col min="21" max="21" width="7.42578125" style="21" customWidth="1"/>
    <col min="22" max="22" width="5.140625" style="21" customWidth="1"/>
    <col min="23" max="23" width="8.5703125" style="21" customWidth="1"/>
    <col min="24" max="24" width="1.85546875" style="21" customWidth="1"/>
    <col min="25" max="26" width="2.5703125" style="21" customWidth="1"/>
    <col min="27" max="16384" width="17.140625" style="21"/>
  </cols>
  <sheetData>
    <row r="1" spans="1:26" s="41" customFormat="1" ht="7.5" customHeight="1">
      <c r="C1" s="44"/>
      <c r="D1" s="44"/>
      <c r="E1" s="44"/>
      <c r="F1" s="44"/>
      <c r="G1" s="44"/>
      <c r="H1" s="44"/>
      <c r="I1" s="44"/>
      <c r="J1" s="44"/>
      <c r="K1" s="44"/>
      <c r="L1" s="44"/>
      <c r="M1" s="44"/>
      <c r="N1" s="44"/>
      <c r="O1" s="44"/>
      <c r="P1" s="44"/>
      <c r="Q1" s="44"/>
      <c r="R1" s="44"/>
      <c r="S1" s="44"/>
      <c r="T1" s="44"/>
      <c r="U1" s="44"/>
      <c r="V1" s="44"/>
      <c r="W1" s="164"/>
      <c r="X1" s="165"/>
      <c r="Y1" s="165"/>
      <c r="Z1" s="165"/>
    </row>
    <row r="2" spans="1:26" ht="14.25" customHeight="1">
      <c r="A2" s="25"/>
      <c r="B2" s="25"/>
      <c r="C2" s="166" t="s">
        <v>0</v>
      </c>
      <c r="D2" s="167"/>
      <c r="E2" s="168" t="s">
        <v>861</v>
      </c>
      <c r="F2" s="169"/>
      <c r="G2" s="170"/>
      <c r="H2" s="170"/>
      <c r="I2" s="171"/>
      <c r="J2" s="376" t="s">
        <v>1</v>
      </c>
      <c r="K2" s="140" t="s">
        <v>843</v>
      </c>
      <c r="L2" s="141"/>
      <c r="M2" s="142"/>
      <c r="N2" s="25"/>
      <c r="O2" s="25"/>
      <c r="P2" s="172" t="s">
        <v>2</v>
      </c>
      <c r="Q2" s="173"/>
      <c r="R2" s="57">
        <f>SUM(E5:E7)</f>
        <v>31</v>
      </c>
      <c r="S2" s="25"/>
      <c r="T2" s="25"/>
      <c r="U2" s="25"/>
      <c r="V2" s="25"/>
      <c r="W2" s="174" t="s">
        <v>3</v>
      </c>
      <c r="X2" s="175"/>
      <c r="Y2" s="175"/>
      <c r="Z2" s="176"/>
    </row>
    <row r="3" spans="1:26" ht="12.75" customHeight="1">
      <c r="A3" s="25"/>
      <c r="B3" s="25"/>
      <c r="C3" s="25"/>
      <c r="D3" s="25"/>
      <c r="E3" s="25"/>
      <c r="F3" s="25"/>
      <c r="G3" s="25"/>
      <c r="H3" s="25"/>
      <c r="I3" s="25"/>
      <c r="J3" s="58" t="s">
        <v>4</v>
      </c>
      <c r="K3" s="303" t="s">
        <v>3</v>
      </c>
      <c r="L3" s="304"/>
      <c r="M3" s="25"/>
      <c r="N3" s="25"/>
      <c r="O3" s="25"/>
      <c r="P3" s="25"/>
      <c r="Q3" s="25"/>
      <c r="R3" s="25"/>
      <c r="S3" s="25"/>
      <c r="T3" s="25"/>
      <c r="U3" s="25"/>
      <c r="V3" s="25"/>
      <c r="W3" s="179" t="s">
        <v>5</v>
      </c>
      <c r="X3" s="177"/>
      <c r="Y3" s="177"/>
      <c r="Z3" s="178"/>
    </row>
    <row r="4" spans="1:26" ht="15.75" customHeight="1">
      <c r="A4" s="25"/>
      <c r="B4" s="248" t="s">
        <v>6</v>
      </c>
      <c r="C4" s="249"/>
      <c r="D4" s="250" t="s">
        <v>7</v>
      </c>
      <c r="E4" s="251"/>
      <c r="F4" s="252"/>
      <c r="G4" s="252"/>
      <c r="H4" s="253"/>
      <c r="I4" s="25"/>
      <c r="J4" s="25"/>
      <c r="K4" s="25"/>
      <c r="L4" s="25"/>
      <c r="M4" s="25"/>
      <c r="N4" s="25"/>
      <c r="O4" s="25"/>
      <c r="P4" s="25"/>
      <c r="Q4" s="180" t="s">
        <v>8</v>
      </c>
      <c r="R4" s="181"/>
      <c r="S4" s="182"/>
      <c r="T4" s="52">
        <f>SUM(C5:C7)+VLOOKUP(K2,races,5,FALSE)</f>
        <v>32</v>
      </c>
      <c r="U4" s="25"/>
      <c r="V4" s="25"/>
      <c r="W4" s="179" t="s">
        <v>10</v>
      </c>
      <c r="X4" s="177"/>
      <c r="Y4" s="177"/>
      <c r="Z4" s="178"/>
    </row>
    <row r="5" spans="1:26" ht="21.75" customHeight="1">
      <c r="A5" s="25"/>
      <c r="B5" s="254" t="s">
        <v>11</v>
      </c>
      <c r="C5" s="42">
        <f>VLOOKUP(K2,races,2,FALSE)</f>
        <v>10</v>
      </c>
      <c r="D5" s="255" t="s">
        <v>11</v>
      </c>
      <c r="E5" s="109">
        <v>12</v>
      </c>
      <c r="F5" s="256" t="s">
        <v>12</v>
      </c>
      <c r="G5" s="257" t="str">
        <f>VLOOKUP(E5,strength,2,FALSE)</f>
        <v>1d-2</v>
      </c>
      <c r="H5" s="258" t="s">
        <v>13</v>
      </c>
      <c r="I5" s="258"/>
      <c r="J5" s="244" t="s">
        <v>14</v>
      </c>
      <c r="K5" s="259" t="s">
        <v>15</v>
      </c>
      <c r="L5" s="260" t="s">
        <v>16</v>
      </c>
      <c r="M5" s="244" t="s">
        <v>17</v>
      </c>
      <c r="N5" s="259" t="s">
        <v>18</v>
      </c>
      <c r="O5" s="260" t="s">
        <v>19</v>
      </c>
      <c r="P5" s="261" t="s">
        <v>20</v>
      </c>
      <c r="Q5" s="262"/>
      <c r="R5" s="263" t="s">
        <v>628</v>
      </c>
      <c r="S5" s="263" t="s">
        <v>15</v>
      </c>
      <c r="T5" s="264" t="s">
        <v>22</v>
      </c>
      <c r="U5" s="265" t="s">
        <v>23</v>
      </c>
      <c r="V5" s="266" t="s">
        <v>18</v>
      </c>
      <c r="W5" s="179"/>
      <c r="X5" s="177"/>
      <c r="Y5" s="177"/>
      <c r="Z5" s="178"/>
    </row>
    <row r="6" spans="1:26" ht="21.75" customHeight="1">
      <c r="A6" s="25"/>
      <c r="B6" s="254" t="s">
        <v>24</v>
      </c>
      <c r="C6" s="42">
        <f>VLOOKUP(K2,races,3,FALSE)</f>
        <v>6</v>
      </c>
      <c r="D6" s="267" t="s">
        <v>24</v>
      </c>
      <c r="E6" s="110">
        <v>11</v>
      </c>
      <c r="F6" s="256" t="s">
        <v>855</v>
      </c>
      <c r="G6" s="268"/>
      <c r="H6" s="269" t="s">
        <v>249</v>
      </c>
      <c r="I6" s="269"/>
      <c r="J6" s="23" t="str">
        <f>VLOOKUP(H6,weapons,2,FALSE)</f>
        <v>2d-1</v>
      </c>
      <c r="K6" s="23">
        <f>VLOOKUP(H7,weapons,3,FALSE)</f>
        <v>2</v>
      </c>
      <c r="L6" s="270">
        <f>((IF(((E5-VLOOKUP(H6,weapons,5,FALSE))&lt;0),((E5-VLOOKUP(H6,weapons,5,FALSE))+G7),G7) + IF((M6="+1dx"),1,0))+IF((VLOOKUP(H6,weapons,6,FALSE)="M"),IF((IFERROR( FIND("9,Missile",CONCATENATE(N19, N20, N21, N22, N23, N24,N25,N26,N27,N28,N29,N30,N31,N32)),0) &gt;0),3, 0 ),0))+IF((VLOOKUP(H6,weapons,6,FALSE)="T"),IF((IFERROR( FIND("8,Thrown",CONCATENATE(N19, N20, N21, N22, N23, N24,N25,N26,N27,N28,N29,N30,N31,N32)),0) &gt;0),2, 0 ),0)</f>
        <v>10</v>
      </c>
      <c r="M6" s="271"/>
      <c r="N6" s="23">
        <f>VLOOKUP(H7, weapons, 4, FALSE)</f>
        <v>20</v>
      </c>
      <c r="O6" s="23">
        <f>VLOOKUP(H7, weapons, 5, FALSE)</f>
        <v>9</v>
      </c>
      <c r="P6" s="272" t="s">
        <v>601</v>
      </c>
      <c r="Q6" s="273"/>
      <c r="R6" s="274">
        <f>VLOOKUP(P6,armor,2,FALSE)+U6</f>
        <v>1</v>
      </c>
      <c r="S6" s="24">
        <f>VLOOKUP(P6,armor,3,FALSE)</f>
        <v>7</v>
      </c>
      <c r="T6" s="53">
        <f>SUM(Y9:Y13) * -1</f>
        <v>-1</v>
      </c>
      <c r="U6" s="55">
        <v>0</v>
      </c>
      <c r="V6" s="59">
        <f>VLOOKUP(P6,armor,4,FALSE)</f>
        <v>100</v>
      </c>
      <c r="W6" s="129"/>
      <c r="X6" s="127"/>
      <c r="Y6" s="127"/>
      <c r="Z6" s="128"/>
    </row>
    <row r="7" spans="1:26" ht="21.75" customHeight="1">
      <c r="A7" s="25"/>
      <c r="B7" s="275" t="s">
        <v>27</v>
      </c>
      <c r="C7" s="42">
        <f>VLOOKUP(K2,races,4,FALSE)</f>
        <v>8</v>
      </c>
      <c r="D7" s="267" t="s">
        <v>27</v>
      </c>
      <c r="E7" s="110">
        <v>8</v>
      </c>
      <c r="F7" s="276" t="s">
        <v>28</v>
      </c>
      <c r="G7" s="277">
        <f>(IF(((J11/E5)&lt;=2),E6, IF(((J11/E5)&lt;=3),(E6-1),IF(((J11/E5)&lt;=4),(E6-2),IF(((J11/E5)&gt;4),(E6-3),(E6-4)))))+T10)+T11</f>
        <v>10</v>
      </c>
      <c r="H7" s="278" t="s">
        <v>280</v>
      </c>
      <c r="I7" s="269"/>
      <c r="J7" s="23" t="str">
        <f>VLOOKUP(H7,weapons,2,FALSE)</f>
        <v>1d-1</v>
      </c>
      <c r="K7" s="23">
        <f>VLOOKUP(H7,weapons,3,FALSE)</f>
        <v>2</v>
      </c>
      <c r="L7" s="270">
        <f>((IF(((E5-VLOOKUP(H7,weapons,5,FALSE))&lt;0),((E5-VLOOKUP(H7,weapons,5,FALSE))+G7),G7)+ IF((M7="+1dx"),1,0))+IF((VLOOKUP(H7,weapons,6,FALSE)="T"),IF((IFERROR( FIND("8,Thrown Weapons",CONCATENATE(N19, N20, N21, N22, N23, N24,N25,N26,N27,N28,N29,N30,N31,N32)),0) &gt;0),2, 0 ),0))+IF((VLOOKUP(H7,weapons,6,FALSE)="M"),IF((IFERROR( FIND("9,Missile",CONCATENATE(N19, N20, N21, N22, N23, N24,N25,N26,N27,N28,N29,N30,N31,N32)),0) &gt;0),3, 0 ),0)</f>
        <v>13</v>
      </c>
      <c r="M7" s="271"/>
      <c r="N7" s="23">
        <f>VLOOKUP(H7, weapons, 4, FALSE)</f>
        <v>20</v>
      </c>
      <c r="O7" s="23">
        <f>VLOOKUP(H7, weapons, 5, FALSE)</f>
        <v>9</v>
      </c>
      <c r="P7" s="279" t="s">
        <v>604</v>
      </c>
      <c r="Q7" s="280"/>
      <c r="R7" s="281">
        <f>VLOOKUP(P7,shields,2,FALSE)+U7</f>
        <v>1</v>
      </c>
      <c r="S7" s="51">
        <f>VLOOKUP(P7,shields,3,FALSE)</f>
        <v>5</v>
      </c>
      <c r="T7" s="54">
        <f>SUM(Y14:Y16)*-1</f>
        <v>0</v>
      </c>
      <c r="U7" s="56">
        <v>0</v>
      </c>
      <c r="V7" s="60">
        <f>VLOOKUP(P7,shields,4,FALSE)</f>
        <v>30</v>
      </c>
      <c r="W7" s="78"/>
      <c r="X7" s="80"/>
      <c r="Y7" s="80"/>
      <c r="Z7" s="79"/>
    </row>
    <row r="8" spans="1:26" ht="21.75" customHeight="1">
      <c r="A8" s="25"/>
      <c r="B8" s="282" t="s">
        <v>31</v>
      </c>
      <c r="C8" s="42">
        <f>VLOOKUP(K2,races,6,FALSE)</f>
        <v>10</v>
      </c>
      <c r="D8" s="283" t="s">
        <v>31</v>
      </c>
      <c r="E8" s="43">
        <f>VLOOKUP(K2,races,6,FALSE)</f>
        <v>10</v>
      </c>
      <c r="F8" s="284" t="s">
        <v>32</v>
      </c>
      <c r="G8" s="285">
        <f>IF((VLOOKUP(P6,armor,2,FALSE)=0),VLOOKUP(K2,races,6,FALSE),VLOOKUP(P6,armor,5,FALSE))+IF((IFERROR( FIND("Running",CONCATENATE(N19, N20, N21, N22, N23, N24,N25,N26,N27,N28,N29,N30,N31,N32)),0) &gt;0),2,0 )</f>
        <v>12</v>
      </c>
      <c r="H8" s="278" t="s">
        <v>25</v>
      </c>
      <c r="I8" s="269"/>
      <c r="J8" s="23" t="str">
        <f>VLOOKUP(H8,weapons,2,FALSE)</f>
        <v>1d</v>
      </c>
      <c r="K8" s="23">
        <f>VLOOKUP(H8,weapons,3,FALSE)</f>
        <v>3</v>
      </c>
      <c r="L8" s="270">
        <f>((IF(((E5-VLOOKUP(H8,weapons,5,FALSE))&lt;0),((E5-VLOOKUP(H8,weapons,5,FALSE))+G7),G7)+ IF((M8="+1dx"),1,0))+IF((VLOOKUP(H8,weapons,6,FALSE)="M"),IF((IFERROR( FIND("9,Missile",CONCATENATE(N19, N20, N21, N22, N23, N24,N25,N26,N27,N28,N29,N30,N31,N32)),0) &gt;0),3, 0 ),0))+IF((VLOOKUP(H8,weapons,6,FALSE)="T"),IF((IFERROR( FIND("8,Thrown",CONCATENATE(N19, N20, N21, N22, N23, N24,N25,N26,N27,N28,N29,N30,N31,N32)),0) &gt;0),2, 0 ),0)</f>
        <v>12</v>
      </c>
      <c r="M8" s="286"/>
      <c r="N8" s="23">
        <f>VLOOKUP(H8, weapons, 4, FALSE)</f>
        <v>40</v>
      </c>
      <c r="O8" s="50">
        <f>VLOOKUP(H8, weapons, 5, FALSE)</f>
        <v>11</v>
      </c>
      <c r="P8" s="287" t="s">
        <v>33</v>
      </c>
      <c r="Q8" s="288"/>
      <c r="R8" s="289">
        <f>VLOOKUP(K2,races,8,FALSE)+IFERROR(IF(FIND("Veteran",CONCATENATE(N19, N20, N21, N22, N23, N24,N25,N26,N27,N28,N29,N30,N31,N32))&gt;0,1,0),0)+IFERROR(IF(FIND("Warrior",CONCATENATE(N19, N20, N21, N22, N23, N24,N25,N26,N27,N28,N29,N30,N31,N32))&gt;0,1,0),0)</f>
        <v>1</v>
      </c>
      <c r="S8" s="290" t="s">
        <v>629</v>
      </c>
      <c r="T8" s="291">
        <f>SUM(((R8+R6)+R7))</f>
        <v>3</v>
      </c>
      <c r="U8" s="25"/>
      <c r="V8" s="25"/>
      <c r="W8" s="65"/>
      <c r="X8" s="48"/>
      <c r="Y8" s="48"/>
      <c r="Z8" s="62"/>
    </row>
    <row r="9" spans="1:26" ht="21.75" customHeight="1">
      <c r="A9" s="25"/>
      <c r="B9" s="25"/>
      <c r="C9" s="25"/>
      <c r="D9" s="25"/>
      <c r="E9" s="25"/>
      <c r="F9" s="25"/>
      <c r="G9" s="25"/>
      <c r="H9" s="278" t="s">
        <v>247</v>
      </c>
      <c r="I9" s="269"/>
      <c r="J9" s="23" t="str">
        <f>VLOOKUP(H9,weapons,2,FALSE)</f>
        <v>2d-2</v>
      </c>
      <c r="K9" s="23">
        <f>VLOOKUP(H9,weapons,3,FALSE)</f>
        <v>1.5</v>
      </c>
      <c r="L9" s="270">
        <f>((IF(((E6-VLOOKUP(H9,weapons,5,FALSE))&lt;0),((E6-VLOOKUP(H9,weapons,5,FALSE))+G7),G7)+ IF((M9="+1dx"),1,0))+IF((VLOOKUP(H9,weapons,6,FALSE)="M"),IF((IFERROR( FIND("9,Missile",CONCATENATE(N19, N20, N21, N22, N23, N24,N25,N26,N27,N28,N29,N30,N31,N32)),0) &gt;0),3, 0 ),0))+IF((VLOOKUP(H9,weapons,6,FALSE)="T"),IF((IFERROR( FIND("8,Thrown",CONCATENATE(N19, N20, N21, N22, N23, N24,N25,N26,N27,N28,N29,N30,N31,N32)),0) &gt;0),2, 0 ),0)</f>
        <v>10</v>
      </c>
      <c r="M9" s="286"/>
      <c r="N9" s="23">
        <f>VLOOKUP(H9, weapons, 4, FALSE)</f>
        <v>50</v>
      </c>
      <c r="O9" s="50">
        <f>VLOOKUP(H9, weapons, 5, FALSE)</f>
        <v>11</v>
      </c>
      <c r="P9" s="292" t="s">
        <v>34</v>
      </c>
      <c r="Q9" s="293"/>
      <c r="R9" s="183"/>
      <c r="S9" s="184"/>
      <c r="T9" s="294">
        <v>0</v>
      </c>
      <c r="U9" s="25"/>
      <c r="V9" s="25"/>
      <c r="W9" s="66" t="s">
        <v>35</v>
      </c>
      <c r="X9" s="67" t="str">
        <f>IF((VLOOKUP(P6,armor,1,FALSE) ="Cloth"), "yes", "no" )</f>
        <v>yes</v>
      </c>
      <c r="Y9" s="63">
        <f>IF((X9="yes"), IF((E5&gt;17), 0,1), 0)</f>
        <v>1</v>
      </c>
      <c r="Z9" s="64"/>
    </row>
    <row r="10" spans="1:26" ht="21.75" customHeight="1">
      <c r="A10" s="25"/>
      <c r="B10" s="25"/>
      <c r="C10" s="185" t="s">
        <v>36</v>
      </c>
      <c r="D10" s="186"/>
      <c r="E10" s="295">
        <f>SUM(E5:E7)</f>
        <v>31</v>
      </c>
      <c r="F10" s="187" t="s">
        <v>37</v>
      </c>
      <c r="G10" s="187"/>
      <c r="H10" s="296" t="s">
        <v>38</v>
      </c>
      <c r="I10" s="297"/>
      <c r="J10" s="298">
        <f>(((VLOOKUP(H7, weapons, 4, FALSE)+VLOOKUP(H7, weapons, 4, FALSE))+VLOOKUP(H8, weapons, 4, FALSE))+VLOOKUP(P6, armor, 4, FALSE))+VLOOKUP(P7, shields, 4, FALSE)</f>
        <v>210</v>
      </c>
      <c r="K10" s="299" t="str">
        <f>IF((IFERROR( FIND("Veteran",CONCATENATE(N19, N20, N21, N22, N23, N24,N25,N26,N27,N28,N29,N30,N31,N32)),0) &gt;0),"+1 natural armor as a Veteran", "" )</f>
        <v/>
      </c>
      <c r="L10" s="299" t="str">
        <f>IF((IFERROR( FIND("9,Missile",CONCATENATE(N19, N20, N21, N22, N23, N24,N25,N26,N27,N28,N29,N30,N31,N32)),0) &gt;0),"Missle weaps used at +3", "" )</f>
        <v>Missle weaps used at +3</v>
      </c>
      <c r="M10" s="299" t="str">
        <f>IF((IFERROR( FIND("Thrown",CONCATENATE(N19, N20, N21, N22, N23, N24,N25,N26,N27,N28,N29,N30,N31,N32)),0) &gt;0),"Weaps thrown at +2 DX", "" )</f>
        <v>Weaps thrown at +2 DX</v>
      </c>
      <c r="N10" s="299" t="str">
        <f>IF((IFERROR( FIND("Running",CONCATENATE(N19, N20, N21, N22, N23, N24,N25,N26,N27,N28,N29,N30,N31,N32)),0) &gt;0),"AdjMA includes +2 for Running", "" )</f>
        <v>AdjMA includes +2 for Running</v>
      </c>
      <c r="O10" s="108" t="str">
        <f>IF((K3="Fighter"), "Spells at -4, use 3 slots.", " Talents cost Double.")</f>
        <v>Spells at -4, use 3 slots.</v>
      </c>
      <c r="P10" s="299" t="str">
        <f>IF((IFERROR( FIND("Warrior",CONCATENATE(N19, N20, N21, N22, N23, N24,N25,N26,N27,N28,N29,N30,N31,N32)),0) &gt;0),"+1 natural armor as a Warrior", "" )</f>
        <v>+1 natural armor as a Warrior</v>
      </c>
      <c r="Q10" s="300" t="s">
        <v>39</v>
      </c>
      <c r="R10" s="301"/>
      <c r="S10" s="188"/>
      <c r="T10" s="302">
        <f>SUM(T6:T7)</f>
        <v>-1</v>
      </c>
      <c r="U10" s="25"/>
      <c r="V10" s="25"/>
      <c r="W10" s="66" t="s">
        <v>40</v>
      </c>
      <c r="X10" s="67" t="str">
        <f>IF((VLOOKUP(P6,armor,1,FALSE) = "Leather"), "yes", "no" )</f>
        <v>no</v>
      </c>
      <c r="Y10" s="63">
        <f>IF((X10="yes"), IF((E5&gt;17), 0,2), 0)</f>
        <v>0</v>
      </c>
      <c r="Z10" s="64"/>
    </row>
    <row r="11" spans="1:26" ht="17.25" customHeight="1">
      <c r="A11" s="25"/>
      <c r="B11" s="25"/>
      <c r="C11" s="25"/>
      <c r="D11" s="25"/>
      <c r="E11" s="25"/>
      <c r="F11" s="25"/>
      <c r="G11" s="25"/>
      <c r="H11" s="377" t="s">
        <v>41</v>
      </c>
      <c r="I11" s="378"/>
      <c r="J11" s="379">
        <f>SUM(((((((T9+S7)+S6)+K8)+K7)+K6)+K9))</f>
        <v>20.5</v>
      </c>
      <c r="K11" s="25"/>
      <c r="L11" s="25"/>
      <c r="M11" s="25"/>
      <c r="N11" s="25"/>
      <c r="O11" s="25"/>
      <c r="P11" s="25"/>
      <c r="Q11" s="25"/>
      <c r="R11" s="25"/>
      <c r="S11" s="25"/>
      <c r="T11" s="25"/>
      <c r="U11" s="25"/>
      <c r="V11" s="25"/>
      <c r="W11" s="66" t="s">
        <v>42</v>
      </c>
      <c r="X11" s="67" t="str">
        <f>IF((VLOOKUP(P6,armor,1,FALSE) = "Chain"), "yes", "no" )</f>
        <v>no</v>
      </c>
      <c r="Y11" s="63">
        <f>IF((X11="yes"), IF((E5&gt;23), 0, IF((E5&gt;19), 2, 3)), 0)</f>
        <v>0</v>
      </c>
      <c r="Z11" s="64"/>
    </row>
    <row r="12" spans="1:26" ht="21.75" customHeight="1">
      <c r="A12" s="25"/>
      <c r="B12" s="25"/>
      <c r="C12" s="25"/>
      <c r="D12" s="388" t="s">
        <v>43</v>
      </c>
      <c r="E12" s="389"/>
      <c r="F12" s="390" t="str">
        <f>VLOOKUP(K2,races,10,FALSE)</f>
        <v>+1 damage with axes and maces</v>
      </c>
      <c r="G12" s="391"/>
      <c r="H12" s="391"/>
      <c r="I12" s="391"/>
      <c r="J12" s="391"/>
      <c r="K12" s="391"/>
      <c r="L12" s="391"/>
      <c r="M12" s="391"/>
      <c r="N12" s="391"/>
      <c r="O12" s="391"/>
      <c r="P12" s="391"/>
      <c r="Q12" s="391"/>
      <c r="R12" s="391"/>
      <c r="S12" s="391"/>
      <c r="T12" s="392"/>
      <c r="U12" s="25"/>
      <c r="V12" s="25"/>
      <c r="W12" s="66" t="s">
        <v>44</v>
      </c>
      <c r="X12" s="67" t="str">
        <f>IF((VLOOKUP(P6,armor,1,FALSE) = "Half plate"), "yes", "no" )</f>
        <v>no</v>
      </c>
      <c r="Y12" s="63">
        <f>IF((X12="yes"), IF((E5&gt;19), 3,4), 0)</f>
        <v>0</v>
      </c>
      <c r="Z12" s="64"/>
    </row>
    <row r="13" spans="1:26" ht="21.75" customHeight="1">
      <c r="A13" s="25"/>
      <c r="B13" s="25"/>
      <c r="C13" s="25"/>
      <c r="D13" s="380" t="str">
        <f>CONCATENATE("Notes:",  L10, ". ", M10,". ", N10, ";  ",O10, ";  ",K10, ";  ",P10)</f>
        <v>Notes:Missle weaps used at +3. Weaps thrown at +2 DX. AdjMA includes +2 for Running;  Spells at -4, use 3 slots.;  ;  +1 natural armor as a Warrior</v>
      </c>
      <c r="E13" s="381"/>
      <c r="F13" s="381"/>
      <c r="G13" s="381"/>
      <c r="H13" s="381"/>
      <c r="I13" s="381"/>
      <c r="J13" s="381"/>
      <c r="K13" s="381"/>
      <c r="L13" s="381"/>
      <c r="M13" s="382"/>
      <c r="N13" s="383" t="s">
        <v>45</v>
      </c>
      <c r="O13" s="384"/>
      <c r="P13" s="385" t="s">
        <v>46</v>
      </c>
      <c r="Q13" s="386"/>
      <c r="R13" s="386"/>
      <c r="S13" s="386"/>
      <c r="T13" s="387"/>
      <c r="U13" s="195"/>
      <c r="V13" s="196"/>
      <c r="W13" s="66" t="s">
        <v>47</v>
      </c>
      <c r="X13" s="67" t="str">
        <f>IF((VLOOKUP(P6,armor,1,FALSE) = "Plate"), "yes", "no" )</f>
        <v>no</v>
      </c>
      <c r="Y13" s="63">
        <f>IF((X13="yes"), IF((E5&gt;19), 4,5), 0)</f>
        <v>0</v>
      </c>
      <c r="Z13" s="64"/>
    </row>
    <row r="14" spans="1:26" ht="21.75" customHeight="1">
      <c r="A14" s="25"/>
      <c r="B14" s="25"/>
      <c r="C14" s="25"/>
      <c r="D14" s="189"/>
      <c r="E14" s="306"/>
      <c r="F14" s="307"/>
      <c r="G14" s="307"/>
      <c r="H14" s="307"/>
      <c r="I14" s="308"/>
      <c r="J14" s="306"/>
      <c r="K14" s="190"/>
      <c r="L14" s="191"/>
      <c r="M14" s="309" t="s">
        <v>48</v>
      </c>
      <c r="N14" s="207">
        <v>0</v>
      </c>
      <c r="O14" s="207"/>
      <c r="P14" s="197"/>
      <c r="Q14" s="198"/>
      <c r="R14" s="198"/>
      <c r="S14" s="198"/>
      <c r="T14" s="199"/>
      <c r="U14" s="195"/>
      <c r="V14" s="196"/>
      <c r="W14" s="66" t="s">
        <v>49</v>
      </c>
      <c r="X14" s="67" t="str">
        <f>IF((VLOOKUP(P7,shields,1,FALSE) = "Large Shield"), "yes", "no" )</f>
        <v>no</v>
      </c>
      <c r="Y14" s="63">
        <f>IF((X14="yes"), IF((E5&gt;19), 0,1), 0)</f>
        <v>0</v>
      </c>
      <c r="Z14" s="64"/>
    </row>
    <row r="15" spans="1:26" ht="15" customHeight="1">
      <c r="A15" s="25"/>
      <c r="B15" s="25"/>
      <c r="C15" s="25"/>
      <c r="D15" s="305"/>
      <c r="E15" s="306"/>
      <c r="F15" s="307"/>
      <c r="G15" s="307"/>
      <c r="H15" s="307"/>
      <c r="I15" s="306"/>
      <c r="J15" s="306"/>
      <c r="K15" s="190"/>
      <c r="L15" s="191"/>
      <c r="M15" s="309" t="s">
        <v>50</v>
      </c>
      <c r="N15" s="208">
        <v>0</v>
      </c>
      <c r="O15" s="209"/>
      <c r="P15" s="200"/>
      <c r="Q15" s="198"/>
      <c r="R15" s="198"/>
      <c r="S15" s="198"/>
      <c r="T15" s="199"/>
      <c r="U15" s="195"/>
      <c r="V15" s="196"/>
      <c r="W15" s="47" t="s">
        <v>51</v>
      </c>
      <c r="X15" s="85" t="str">
        <f>IF((VLOOKUP(P7,shields,1,FALSE) = "Tower Shield"), "yes", "no" )</f>
        <v>no</v>
      </c>
      <c r="Y15" s="70">
        <f>IF((X15="yes"), IF((E5&gt;19), 1,2), 0)</f>
        <v>0</v>
      </c>
      <c r="Z15" s="71"/>
    </row>
    <row r="16" spans="1:26" ht="15" customHeight="1">
      <c r="A16" s="25"/>
      <c r="B16" s="25"/>
      <c r="C16" s="25"/>
      <c r="D16" s="192"/>
      <c r="E16" s="193"/>
      <c r="F16" s="193"/>
      <c r="G16" s="193"/>
      <c r="H16" s="193"/>
      <c r="I16" s="193"/>
      <c r="J16" s="193"/>
      <c r="K16" s="193"/>
      <c r="L16" s="194"/>
      <c r="M16" s="309" t="s">
        <v>52</v>
      </c>
      <c r="N16" s="207">
        <v>0</v>
      </c>
      <c r="O16" s="207"/>
      <c r="P16" s="201"/>
      <c r="Q16" s="202"/>
      <c r="R16" s="203"/>
      <c r="S16" s="204"/>
      <c r="T16" s="204"/>
      <c r="U16" s="205"/>
      <c r="V16" s="206"/>
      <c r="W16" s="81" t="s">
        <v>53</v>
      </c>
      <c r="X16" s="68" t="str">
        <f>IF((VLOOKUP(P7,shields,1,FALSE) = "Small Shield"), "yes", "no" )</f>
        <v>yes</v>
      </c>
      <c r="Y16" s="80">
        <v>0</v>
      </c>
      <c r="Z16" s="79"/>
    </row>
    <row r="17" spans="1:27" ht="21.75" customHeight="1">
      <c r="A17" s="210" t="s">
        <v>54</v>
      </c>
      <c r="B17" s="211"/>
      <c r="C17" s="211"/>
      <c r="D17" s="49"/>
      <c r="E17" s="49"/>
      <c r="F17" s="49"/>
      <c r="G17" s="49"/>
      <c r="H17" s="49"/>
      <c r="I17" s="49"/>
      <c r="J17" s="49"/>
      <c r="K17" s="49"/>
      <c r="L17" s="49"/>
      <c r="M17" s="49"/>
      <c r="N17" s="210" t="s">
        <v>54</v>
      </c>
      <c r="O17" s="211"/>
      <c r="P17" s="211"/>
      <c r="Q17" s="25"/>
      <c r="R17" s="25"/>
      <c r="S17" s="25"/>
      <c r="T17" s="226" t="s">
        <v>613</v>
      </c>
      <c r="U17" s="227"/>
      <c r="V17" s="310">
        <f>SUM(Q19:Q32)</f>
        <v>17</v>
      </c>
      <c r="W17" s="69" t="s">
        <v>31</v>
      </c>
      <c r="X17" s="84" t="str">
        <f>IF((VLOOKUP(P6,armor,2,FALSE) = "Cloth"), "yes", "no" )</f>
        <v>no</v>
      </c>
      <c r="Y17" s="125">
        <f>IF((X16="yes"), IF((E11&gt;19), 1,2), 0)</f>
        <v>2</v>
      </c>
      <c r="Z17" s="126"/>
    </row>
    <row r="18" spans="1:27" ht="16.5" customHeight="1">
      <c r="A18" s="240" t="s">
        <v>55</v>
      </c>
      <c r="B18" s="240"/>
      <c r="C18" s="240"/>
      <c r="D18" s="241" t="s">
        <v>56</v>
      </c>
      <c r="E18" s="239" t="s">
        <v>18</v>
      </c>
      <c r="F18" s="242" t="s">
        <v>57</v>
      </c>
      <c r="G18" s="242"/>
      <c r="H18" s="242"/>
      <c r="I18" s="242"/>
      <c r="J18" s="243"/>
      <c r="K18" s="243"/>
      <c r="L18" s="243"/>
      <c r="M18" s="244" t="s">
        <v>58</v>
      </c>
      <c r="N18" s="245" t="s">
        <v>59</v>
      </c>
      <c r="O18" s="245"/>
      <c r="P18" s="245"/>
      <c r="Q18" s="244" t="s">
        <v>58</v>
      </c>
      <c r="R18" s="246" t="s">
        <v>60</v>
      </c>
      <c r="S18" s="246"/>
      <c r="T18" s="246"/>
      <c r="U18" s="246"/>
      <c r="V18" s="247" t="s">
        <v>61</v>
      </c>
      <c r="W18" s="82" t="s">
        <v>62</v>
      </c>
      <c r="X18" s="83" t="str">
        <f>IF((VLOOKUP(P6,armor,1,FALSE) = "Chain"), "yes", "no" )</f>
        <v>no</v>
      </c>
      <c r="Y18" s="80">
        <f>IF((X11="yes"), IF((E5&gt;23), 0, IF((E5&gt;19), 2, 3)), 0)</f>
        <v>0</v>
      </c>
      <c r="Z18" s="79"/>
    </row>
    <row r="19" spans="1:27" ht="22.5" customHeight="1">
      <c r="A19" s="212" t="s">
        <v>857</v>
      </c>
      <c r="B19" s="212"/>
      <c r="C19" s="213"/>
      <c r="D19" s="26" t="str">
        <f t="shared" ref="D19:D32" si="0">VLOOKUP(A19,magicspells,5,FALSE)</f>
        <v>(C)</v>
      </c>
      <c r="E19" s="27" t="str">
        <f t="shared" ref="E19:E32" si="1">VLOOKUP(A19,magicspells,6,FALSE)</f>
        <v>[2/-]</v>
      </c>
      <c r="F19" s="214" t="str">
        <f t="shared" ref="F19:F32" si="2">VLOOKUP(A19,magicspells,7,FALSE)</f>
        <v>Creates a solid wall in 1 hex. Lasts 12 turns</v>
      </c>
      <c r="G19" s="215"/>
      <c r="H19" s="216"/>
      <c r="I19" s="217"/>
      <c r="J19" s="218"/>
      <c r="K19" s="219"/>
      <c r="L19" s="220"/>
      <c r="M19" s="28" t="str">
        <f>IF((VLOOKUP(A19,magicspells,2,FALSE) ="-"), "~", IF((VLOOKUP(A19,magicspells,2,FALSE) &gt;E7), "err", 1))</f>
        <v>err</v>
      </c>
      <c r="N19" s="221" t="s">
        <v>611</v>
      </c>
      <c r="O19" s="222"/>
      <c r="P19" s="223"/>
      <c r="Q19" s="28">
        <f t="shared" ref="Q19:Q32" si="3">VLOOKUP(N19,talents,5,FALSE)</f>
        <v>2</v>
      </c>
      <c r="R19" s="224" t="str">
        <f t="shared" ref="R19:R32" si="4">CONCATENATE(VLOOKUP(N19,talents,6,FALSE), " ", VLOOKUP(N19,talents,7,FALSE), " ",VLOOKUP(N19,talents,8,FALSE))</f>
        <v xml:space="preserve">  </v>
      </c>
      <c r="S19" s="224"/>
      <c r="T19" s="224"/>
      <c r="U19" s="225"/>
      <c r="V19" s="61" t="str">
        <f>IF((VLOOKUP(N19,talents,3,FALSE) ="-"), "~", IF((VLOOKUP(N19,talents,3,FALSE) &gt;E7), "err", ""))</f>
        <v/>
      </c>
      <c r="W19" s="129"/>
      <c r="X19" s="127"/>
      <c r="Y19" s="127"/>
      <c r="Z19" s="128"/>
    </row>
    <row r="20" spans="1:27" ht="11.25" customHeight="1">
      <c r="A20" s="212" t="s">
        <v>858</v>
      </c>
      <c r="B20" s="212"/>
      <c r="C20" s="213"/>
      <c r="D20" s="29" t="str">
        <f t="shared" si="0"/>
        <v>(C)</v>
      </c>
      <c r="E20" s="27" t="str">
        <f t="shared" si="1"/>
        <v>[1/-]</v>
      </c>
      <c r="F20" s="214" t="str">
        <f t="shared" si="2"/>
        <v>Creates a 1 hex image for 12 turns</v>
      </c>
      <c r="G20" s="215"/>
      <c r="H20" s="216"/>
      <c r="I20" s="217"/>
      <c r="J20" s="218"/>
      <c r="K20" s="219"/>
      <c r="L20" s="220"/>
      <c r="M20" s="28">
        <f>IF((VLOOKUP(A20,magicspells,2,FALSE) ="-"), "~", IF((VLOOKUP(A20,magicspells,2,FALSE) &gt;E7), "err", 1))</f>
        <v>1</v>
      </c>
      <c r="N20" s="221" t="s">
        <v>852</v>
      </c>
      <c r="O20" s="222"/>
      <c r="P20" s="223"/>
      <c r="Q20" s="28">
        <f t="shared" si="3"/>
        <v>2</v>
      </c>
      <c r="R20" s="224" t="str">
        <f t="shared" si="4"/>
        <v xml:space="preserve">  save vs Dx: 3d6</v>
      </c>
      <c r="S20" s="224"/>
      <c r="T20" s="224"/>
      <c r="U20" s="225"/>
      <c r="V20" s="61" t="str">
        <f>IF((VLOOKUP(N20,talents,3,FALSE) ="-"), "~", IF((VLOOKUP(N20,talents,3,FALSE) &gt;E7), "err", ""))</f>
        <v>err</v>
      </c>
      <c r="W20" s="129" t="s">
        <v>64</v>
      </c>
      <c r="X20" s="127"/>
      <c r="Y20" s="127">
        <f>SUM(Y14:Y16)</f>
        <v>0</v>
      </c>
      <c r="Z20" s="128"/>
    </row>
    <row r="21" spans="1:27" ht="11.25" customHeight="1">
      <c r="A21" s="212" t="s">
        <v>63</v>
      </c>
      <c r="B21" s="212"/>
      <c r="C21" s="213"/>
      <c r="D21" s="29">
        <f t="shared" si="0"/>
        <v>0</v>
      </c>
      <c r="E21" s="27">
        <f t="shared" si="1"/>
        <v>0</v>
      </c>
      <c r="F21" s="214">
        <f t="shared" si="2"/>
        <v>0</v>
      </c>
      <c r="G21" s="215"/>
      <c r="H21" s="216"/>
      <c r="I21" s="217"/>
      <c r="J21" s="218"/>
      <c r="K21" s="219"/>
      <c r="L21" s="220"/>
      <c r="M21" s="28" t="s">
        <v>610</v>
      </c>
      <c r="N21" s="221" t="s">
        <v>860</v>
      </c>
      <c r="O21" s="222"/>
      <c r="P21" s="223"/>
      <c r="Q21" s="28">
        <f t="shared" si="3"/>
        <v>1</v>
      </c>
      <c r="R21" s="224" t="str">
        <f t="shared" si="4"/>
        <v xml:space="preserve">  </v>
      </c>
      <c r="S21" s="224"/>
      <c r="T21" s="224"/>
      <c r="U21" s="225"/>
      <c r="V21" s="61" t="str">
        <f>IF((VLOOKUP(N21,talents,3,FALSE) ="-"), "~", IF((VLOOKUP(N21,talents,3,FALSE) &gt;E7), "err", ""))</f>
        <v/>
      </c>
      <c r="W21" s="129"/>
      <c r="X21" s="127"/>
      <c r="Y21" s="127"/>
      <c r="Z21" s="128"/>
    </row>
    <row r="22" spans="1:27" ht="11.25" customHeight="1">
      <c r="A22" s="212" t="s">
        <v>63</v>
      </c>
      <c r="B22" s="212"/>
      <c r="C22" s="213"/>
      <c r="D22" s="29">
        <f t="shared" si="0"/>
        <v>0</v>
      </c>
      <c r="E22" s="27">
        <f t="shared" si="1"/>
        <v>0</v>
      </c>
      <c r="F22" s="214">
        <f t="shared" si="2"/>
        <v>0</v>
      </c>
      <c r="G22" s="215"/>
      <c r="H22" s="216"/>
      <c r="I22" s="217"/>
      <c r="J22" s="218"/>
      <c r="K22" s="219"/>
      <c r="L22" s="220"/>
      <c r="M22" s="28" t="str">
        <f>IF((VLOOKUP(A22,magicspells,2,FALSE) ="-"), "~", IF((VLOOKUP(A22,magicspells,2,FALSE) &gt;E7), "err", 1))</f>
        <v>~</v>
      </c>
      <c r="N22" s="221" t="s">
        <v>853</v>
      </c>
      <c r="O22" s="222"/>
      <c r="P22" s="223"/>
      <c r="Q22" s="28">
        <f t="shared" si="3"/>
        <v>2</v>
      </c>
      <c r="R22" s="224" t="str">
        <f t="shared" si="4"/>
        <v xml:space="preserve">  Thown Weap:+2 DX</v>
      </c>
      <c r="S22" s="224"/>
      <c r="T22" s="224"/>
      <c r="U22" s="225"/>
      <c r="V22" s="61" t="str">
        <f>IF((VLOOKUP(N22,talents,3,FALSE) ="-"), "~", IF((VLOOKUP(N22,talents,3,FALSE) &gt;E7), "err", ""))</f>
        <v/>
      </c>
      <c r="W22" s="72"/>
      <c r="X22" s="73"/>
      <c r="Y22" s="73"/>
      <c r="Z22" s="74"/>
    </row>
    <row r="23" spans="1:27" ht="18.75" customHeight="1">
      <c r="A23" s="212" t="s">
        <v>63</v>
      </c>
      <c r="B23" s="212"/>
      <c r="C23" s="213"/>
      <c r="D23" s="29">
        <f t="shared" si="0"/>
        <v>0</v>
      </c>
      <c r="E23" s="27">
        <f t="shared" si="1"/>
        <v>0</v>
      </c>
      <c r="F23" s="214">
        <f t="shared" si="2"/>
        <v>0</v>
      </c>
      <c r="G23" s="215"/>
      <c r="H23" s="216"/>
      <c r="I23" s="217"/>
      <c r="J23" s="218"/>
      <c r="K23" s="219"/>
      <c r="L23" s="220"/>
      <c r="M23" s="30" t="str">
        <f>IF((VLOOKUP(A23,magicspells,2,FALSE) ="-"), "~", IF((VLOOKUP(A23,magicspells,2,FALSE) &gt;E7), "err", 1))</f>
        <v>~</v>
      </c>
      <c r="N23" s="221" t="s">
        <v>851</v>
      </c>
      <c r="O23" s="222"/>
      <c r="P23" s="223"/>
      <c r="Q23" s="28">
        <f t="shared" si="3"/>
        <v>2</v>
      </c>
      <c r="R23" s="224" t="str">
        <f t="shared" si="4"/>
        <v xml:space="preserve">Except Naginata  </v>
      </c>
      <c r="S23" s="224"/>
      <c r="T23" s="224"/>
      <c r="U23" s="225"/>
      <c r="V23" s="61" t="str">
        <f>IF((VLOOKUP(N23,talents,3,FALSE) ="-"), "~", IF((VLOOKUP(N23,talents,3,FALSE) &gt;E7), "err", ""))</f>
        <v/>
      </c>
      <c r="W23" s="72"/>
      <c r="X23" s="73"/>
      <c r="Y23" s="73"/>
      <c r="Z23" s="74"/>
      <c r="AA23" s="21">
        <f>VLOOKUP(K2,races,8,FALSE)+IFERROR(IF(FIND("Veteran",CONCATENATE(N19, N20, N21, N22, N23, N24,N25,N26,N27,N28,N29,N30,N31,N32))&gt;0,1,0),0)+IFERROR(IF(FIND("Warrior",CONCATENATE(N19, N20, N21, N22, N23, N24,N25,N26,N27,N28,N29,N30,N31,N32))&gt;0,1,0),0)</f>
        <v>1</v>
      </c>
    </row>
    <row r="24" spans="1:27" ht="11.25" customHeight="1">
      <c r="A24" s="212" t="s">
        <v>63</v>
      </c>
      <c r="B24" s="212"/>
      <c r="C24" s="213"/>
      <c r="D24" s="29">
        <f t="shared" si="0"/>
        <v>0</v>
      </c>
      <c r="E24" s="27">
        <f t="shared" si="1"/>
        <v>0</v>
      </c>
      <c r="F24" s="214">
        <f t="shared" si="2"/>
        <v>0</v>
      </c>
      <c r="G24" s="215"/>
      <c r="H24" s="216"/>
      <c r="I24" s="217"/>
      <c r="J24" s="218"/>
      <c r="K24" s="219"/>
      <c r="L24" s="220"/>
      <c r="M24" s="30" t="str">
        <f>IF((VLOOKUP(A24,magicspells,2,FALSE) ="-"), "~", IF((VLOOKUP(A24,magicspells,2,FALSE) &gt;E7), "err", 1))</f>
        <v>~</v>
      </c>
      <c r="N24" s="221" t="s">
        <v>854</v>
      </c>
      <c r="O24" s="222"/>
      <c r="P24" s="223"/>
      <c r="Q24" s="28">
        <f t="shared" si="3"/>
        <v>2</v>
      </c>
      <c r="R24" s="224" t="str">
        <f t="shared" si="4"/>
        <v xml:space="preserve">Includes Sling.  </v>
      </c>
      <c r="S24" s="224"/>
      <c r="T24" s="224"/>
      <c r="U24" s="225"/>
      <c r="V24" s="61" t="str">
        <f>IF((VLOOKUP(N21,talents,3,FALSE) ="-"), "~", IF((VLOOKUP(N21,talents,3,FALSE) &gt;E7), "err", ""))</f>
        <v/>
      </c>
      <c r="W24" s="72"/>
      <c r="X24" s="73"/>
      <c r="Y24" s="73"/>
      <c r="Z24" s="74"/>
    </row>
    <row r="25" spans="1:27" ht="11.25" customHeight="1">
      <c r="A25" s="212" t="s">
        <v>63</v>
      </c>
      <c r="B25" s="212"/>
      <c r="C25" s="213"/>
      <c r="D25" s="29">
        <f t="shared" si="0"/>
        <v>0</v>
      </c>
      <c r="E25" s="27">
        <f t="shared" si="1"/>
        <v>0</v>
      </c>
      <c r="F25" s="214">
        <f t="shared" si="2"/>
        <v>0</v>
      </c>
      <c r="G25" s="215"/>
      <c r="H25" s="216"/>
      <c r="I25" s="217"/>
      <c r="J25" s="218"/>
      <c r="K25" s="219"/>
      <c r="L25" s="220"/>
      <c r="M25" s="30" t="str">
        <f>IF((VLOOKUP(A25,magicspells,2,FALSE) ="-"), "~", IF((VLOOKUP(A25,magicspells,2,FALSE) &gt;E7), "err", 1))</f>
        <v>~</v>
      </c>
      <c r="N25" s="221" t="s">
        <v>612</v>
      </c>
      <c r="O25" s="222"/>
      <c r="P25" s="223"/>
      <c r="Q25" s="28">
        <f t="shared" si="3"/>
        <v>3</v>
      </c>
      <c r="R25" s="224" t="str">
        <f t="shared" si="4"/>
        <v xml:space="preserve">  </v>
      </c>
      <c r="S25" s="224"/>
      <c r="T25" s="224"/>
      <c r="U25" s="225"/>
      <c r="V25" s="61" t="str">
        <f>IF((VLOOKUP(N25,talents,3,FALSE) ="-"), "~", IF((VLOOKUP(N25,talents,3,FALSE) &gt;E7), "err", ""))</f>
        <v>err</v>
      </c>
      <c r="W25" s="72"/>
      <c r="X25" s="73"/>
      <c r="Y25" s="73"/>
      <c r="Z25" s="74"/>
    </row>
    <row r="26" spans="1:27" ht="11.25" customHeight="1">
      <c r="A26" s="212" t="s">
        <v>63</v>
      </c>
      <c r="B26" s="212"/>
      <c r="C26" s="213"/>
      <c r="D26" s="29">
        <f t="shared" si="0"/>
        <v>0</v>
      </c>
      <c r="E26" s="27">
        <f t="shared" si="1"/>
        <v>0</v>
      </c>
      <c r="F26" s="214">
        <f t="shared" si="2"/>
        <v>0</v>
      </c>
      <c r="G26" s="215"/>
      <c r="H26" s="216"/>
      <c r="I26" s="217"/>
      <c r="J26" s="218"/>
      <c r="K26" s="219"/>
      <c r="L26" s="220"/>
      <c r="M26" s="30" t="str">
        <f>IF((VLOOKUP(A26,magicspells,2,FALSE) ="-"), "~", IF((VLOOKUP(A26,magicspells,2,FALSE) &gt;E7), "err", 1))</f>
        <v>~</v>
      </c>
      <c r="N26" s="221" t="s">
        <v>856</v>
      </c>
      <c r="O26" s="222"/>
      <c r="P26" s="223"/>
      <c r="Q26" s="28">
        <f t="shared" si="3"/>
        <v>1</v>
      </c>
      <c r="R26" s="224" t="str">
        <f t="shared" si="4"/>
        <v xml:space="preserve">  </v>
      </c>
      <c r="S26" s="224"/>
      <c r="T26" s="224"/>
      <c r="U26" s="225"/>
      <c r="V26" s="61" t="str">
        <f>IF((VLOOKUP(N26,talents,3,FALSE) ="-"), "~", IF((VLOOKUP(N26,talents,3,FALSE) &gt;E7), "err", ""))</f>
        <v/>
      </c>
      <c r="W26" s="72"/>
      <c r="X26" s="73"/>
      <c r="Y26" s="73"/>
      <c r="Z26" s="74"/>
    </row>
    <row r="27" spans="1:27" ht="11.25" customHeight="1">
      <c r="A27" s="212" t="s">
        <v>63</v>
      </c>
      <c r="B27" s="212"/>
      <c r="C27" s="213"/>
      <c r="D27" s="29">
        <f t="shared" si="0"/>
        <v>0</v>
      </c>
      <c r="E27" s="27">
        <f t="shared" si="1"/>
        <v>0</v>
      </c>
      <c r="F27" s="214">
        <f t="shared" si="2"/>
        <v>0</v>
      </c>
      <c r="G27" s="215"/>
      <c r="H27" s="216"/>
      <c r="I27" s="217"/>
      <c r="J27" s="218"/>
      <c r="K27" s="219"/>
      <c r="L27" s="220"/>
      <c r="M27" s="30" t="str">
        <f>IF((VLOOKUP(A27,magicspells,2,FALSE) ="-"), "~", IF((VLOOKUP(A27,magicspells,2,FALSE) &gt;E7), "err", 1))</f>
        <v>~</v>
      </c>
      <c r="N27" s="221" t="s">
        <v>859</v>
      </c>
      <c r="O27" s="222"/>
      <c r="P27" s="223"/>
      <c r="Q27" s="28">
        <f t="shared" si="3"/>
        <v>2</v>
      </c>
      <c r="R27" s="224" t="str">
        <f t="shared" si="4"/>
        <v>Pre-requisite Strength of 14 or better. '+1 Nat Armor</v>
      </c>
      <c r="S27" s="224"/>
      <c r="T27" s="224"/>
      <c r="U27" s="225"/>
      <c r="V27" s="61" t="str">
        <f>IF((VLOOKUP(N27,talents,3,FALSE) ="-"), "~", IF((VLOOKUP(N27,talents,3,FALSE) &gt;E7), "err", ""))</f>
        <v>err</v>
      </c>
      <c r="W27" s="72"/>
      <c r="X27" s="73"/>
      <c r="Y27" s="73"/>
      <c r="Z27" s="74"/>
    </row>
    <row r="28" spans="1:27" ht="11.25" customHeight="1">
      <c r="A28" s="212" t="s">
        <v>63</v>
      </c>
      <c r="B28" s="212"/>
      <c r="C28" s="213"/>
      <c r="D28" s="29">
        <f t="shared" si="0"/>
        <v>0</v>
      </c>
      <c r="E28" s="27">
        <f t="shared" si="1"/>
        <v>0</v>
      </c>
      <c r="F28" s="214">
        <f t="shared" si="2"/>
        <v>0</v>
      </c>
      <c r="G28" s="215"/>
      <c r="H28" s="216"/>
      <c r="I28" s="217"/>
      <c r="J28" s="218"/>
      <c r="K28" s="219"/>
      <c r="L28" s="220"/>
      <c r="M28" s="30" t="str">
        <f>IF((VLOOKUP(A28,magicspells,2,FALSE) ="-"), "~", IF((VLOOKUP(A28,magicspells,2,FALSE) &gt;E7), "err", 1))</f>
        <v>~</v>
      </c>
      <c r="N28" s="221" t="s">
        <v>63</v>
      </c>
      <c r="O28" s="222"/>
      <c r="P28" s="223"/>
      <c r="Q28" s="28">
        <f t="shared" si="3"/>
        <v>0</v>
      </c>
      <c r="R28" s="224" t="str">
        <f t="shared" si="4"/>
        <v xml:space="preserve">  </v>
      </c>
      <c r="S28" s="224"/>
      <c r="T28" s="224"/>
      <c r="U28" s="225"/>
      <c r="V28" s="61" t="str">
        <f>IF((VLOOKUP(N28,talents,3,FALSE) ="-"), "~", IF((VLOOKUP(N28,talents,3,FALSE) &gt;E7), "err", 1))</f>
        <v>~</v>
      </c>
      <c r="W28" s="72"/>
      <c r="X28" s="73"/>
      <c r="Y28" s="73"/>
      <c r="Z28" s="74"/>
    </row>
    <row r="29" spans="1:27" ht="11.25" customHeight="1">
      <c r="A29" s="212" t="s">
        <v>63</v>
      </c>
      <c r="B29" s="212"/>
      <c r="C29" s="213"/>
      <c r="D29" s="29">
        <f t="shared" si="0"/>
        <v>0</v>
      </c>
      <c r="E29" s="27">
        <f t="shared" si="1"/>
        <v>0</v>
      </c>
      <c r="F29" s="214">
        <f t="shared" si="2"/>
        <v>0</v>
      </c>
      <c r="G29" s="215"/>
      <c r="H29" s="216"/>
      <c r="I29" s="217"/>
      <c r="J29" s="218"/>
      <c r="K29" s="219"/>
      <c r="L29" s="220"/>
      <c r="M29" s="28" t="str">
        <f>IF((VLOOKUP(A29,magicspells,2,FALSE) ="-"), "~", IF((VLOOKUP(A29,magicspells,2,FALSE) &gt;E7), "err", 1))</f>
        <v>~</v>
      </c>
      <c r="N29" s="221" t="s">
        <v>63</v>
      </c>
      <c r="O29" s="222"/>
      <c r="P29" s="223"/>
      <c r="Q29" s="28">
        <f t="shared" si="3"/>
        <v>0</v>
      </c>
      <c r="R29" s="224" t="str">
        <f t="shared" si="4"/>
        <v xml:space="preserve">  </v>
      </c>
      <c r="S29" s="224"/>
      <c r="T29" s="224"/>
      <c r="U29" s="225"/>
      <c r="V29" s="61" t="str">
        <f>IF((VLOOKUP(N29,talents,3,FALSE) ="-"), "~", IF((VLOOKUP(N29,talents,3,FALSE) &gt;E7), "err", ""))</f>
        <v>~</v>
      </c>
      <c r="W29" s="75"/>
      <c r="X29" s="76"/>
      <c r="Y29" s="76"/>
      <c r="Z29" s="77"/>
    </row>
    <row r="30" spans="1:27" ht="11.25" customHeight="1">
      <c r="A30" s="212" t="s">
        <v>63</v>
      </c>
      <c r="B30" s="212"/>
      <c r="C30" s="213"/>
      <c r="D30" s="29">
        <f t="shared" si="0"/>
        <v>0</v>
      </c>
      <c r="E30" s="27">
        <f t="shared" si="1"/>
        <v>0</v>
      </c>
      <c r="F30" s="214">
        <f t="shared" si="2"/>
        <v>0</v>
      </c>
      <c r="G30" s="215"/>
      <c r="H30" s="216"/>
      <c r="I30" s="217"/>
      <c r="J30" s="218"/>
      <c r="K30" s="219"/>
      <c r="L30" s="220"/>
      <c r="M30" s="28" t="str">
        <f>IF((VLOOKUP(A30,magicspells,2,FALSE) ="-"), "~", IF((VLOOKUP(A30,magicspells,2,FALSE) &gt;E7), "err", 1))</f>
        <v>~</v>
      </c>
      <c r="N30" s="221" t="s">
        <v>63</v>
      </c>
      <c r="O30" s="222"/>
      <c r="P30" s="223"/>
      <c r="Q30" s="32">
        <f t="shared" si="3"/>
        <v>0</v>
      </c>
      <c r="R30" s="224" t="str">
        <f t="shared" si="4"/>
        <v xml:space="preserve">  </v>
      </c>
      <c r="S30" s="224"/>
      <c r="T30" s="224"/>
      <c r="U30" s="225"/>
      <c r="V30" s="32" t="str">
        <f>IF((VLOOKUP(N30,talents,3,FALSE) ="-"), "~", IF((VLOOKUP(N30,talents,3,FALSE) &gt;E7), "err", ""))</f>
        <v>~</v>
      </c>
      <c r="W30" s="31"/>
    </row>
    <row r="31" spans="1:27" ht="11.25" customHeight="1">
      <c r="A31" s="212" t="s">
        <v>63</v>
      </c>
      <c r="B31" s="212"/>
      <c r="C31" s="213"/>
      <c r="D31" s="29">
        <f t="shared" si="0"/>
        <v>0</v>
      </c>
      <c r="E31" s="27">
        <f t="shared" si="1"/>
        <v>0</v>
      </c>
      <c r="F31" s="214">
        <f t="shared" si="2"/>
        <v>0</v>
      </c>
      <c r="G31" s="215"/>
      <c r="H31" s="216"/>
      <c r="I31" s="217"/>
      <c r="J31" s="218"/>
      <c r="K31" s="219"/>
      <c r="L31" s="220"/>
      <c r="M31" s="28" t="str">
        <f>IF((VLOOKUP(A31,magicspells,2,FALSE) ="-"), "~", IF((VLOOKUP(A31,magicspells,2,FALSE) &gt;E7), "err", 1))</f>
        <v>~</v>
      </c>
      <c r="N31" s="221" t="s">
        <v>63</v>
      </c>
      <c r="O31" s="222"/>
      <c r="P31" s="223"/>
      <c r="Q31" s="33">
        <f t="shared" si="3"/>
        <v>0</v>
      </c>
      <c r="R31" s="231" t="str">
        <f t="shared" si="4"/>
        <v xml:space="preserve">  </v>
      </c>
      <c r="S31" s="224"/>
      <c r="T31" s="224"/>
      <c r="U31" s="225"/>
      <c r="V31" s="33" t="str">
        <f>IF((VLOOKUP(N31,talents,3,FALSE) ="-"), "~", IF((VLOOKUP(N31,talents,3,FALSE) &gt;E7), "err", ""))</f>
        <v>~</v>
      </c>
      <c r="W31" s="34"/>
    </row>
    <row r="32" spans="1:27" ht="11.25" customHeight="1">
      <c r="A32" s="212" t="s">
        <v>63</v>
      </c>
      <c r="B32" s="212"/>
      <c r="C32" s="213"/>
      <c r="D32" s="35">
        <f t="shared" si="0"/>
        <v>0</v>
      </c>
      <c r="E32" s="27">
        <f t="shared" si="1"/>
        <v>0</v>
      </c>
      <c r="F32" s="232">
        <f t="shared" si="2"/>
        <v>0</v>
      </c>
      <c r="G32" s="215"/>
      <c r="H32" s="216"/>
      <c r="I32" s="217"/>
      <c r="J32" s="218"/>
      <c r="K32" s="219"/>
      <c r="L32" s="220"/>
      <c r="M32" s="28" t="str">
        <f>IF((VLOOKUP(A32,magicspells,2,FALSE) ="-"), "~", IF((VLOOKUP(A32,magicspells,2,FALSE) &gt;E7), "err", 1))</f>
        <v>~</v>
      </c>
      <c r="N32" s="221" t="s">
        <v>63</v>
      </c>
      <c r="O32" s="222"/>
      <c r="P32" s="223"/>
      <c r="Q32" s="33">
        <f t="shared" si="3"/>
        <v>0</v>
      </c>
      <c r="R32" s="228" t="str">
        <f t="shared" si="4"/>
        <v xml:space="preserve">  </v>
      </c>
      <c r="S32" s="229"/>
      <c r="T32" s="229"/>
      <c r="U32" s="230"/>
      <c r="V32" s="33" t="str">
        <f>IF((VLOOKUP(N32,talents,3,FALSE) ="-"), "~", IF((VLOOKUP(N32,talents,3,FALSE) &gt;E8), "err", ""))</f>
        <v>~</v>
      </c>
      <c r="W32" s="34"/>
    </row>
    <row r="33" spans="1:22" ht="11.25">
      <c r="A33" s="36"/>
      <c r="B33" s="36"/>
      <c r="C33" s="37"/>
      <c r="D33" s="22"/>
      <c r="E33" s="37"/>
      <c r="F33" s="22"/>
      <c r="G33" s="37"/>
      <c r="H33" s="37"/>
      <c r="I33" s="37"/>
      <c r="J33" s="37"/>
      <c r="K33" s="36"/>
      <c r="L33" s="36"/>
      <c r="M33" s="36"/>
      <c r="N33" s="36"/>
      <c r="O33" s="36"/>
      <c r="P33" s="36"/>
      <c r="Q33" s="38"/>
      <c r="R33" s="22"/>
      <c r="S33" s="22"/>
      <c r="T33" s="22"/>
      <c r="U33" s="22"/>
      <c r="V33" s="39"/>
    </row>
    <row r="34" spans="1:22" ht="11.25">
      <c r="A34" s="46"/>
      <c r="B34" s="46"/>
      <c r="C34" s="45"/>
      <c r="D34" s="22"/>
      <c r="E34" s="45"/>
      <c r="F34" s="22"/>
      <c r="G34" s="45"/>
      <c r="H34" s="45"/>
      <c r="I34" s="45"/>
      <c r="J34" s="45"/>
      <c r="K34" s="46"/>
      <c r="L34" s="46"/>
      <c r="M34" s="46"/>
      <c r="N34" s="46"/>
      <c r="O34" s="46"/>
      <c r="P34" s="46"/>
      <c r="Q34" s="45"/>
      <c r="R34" s="22"/>
      <c r="S34" s="22"/>
      <c r="T34" s="22"/>
      <c r="U34" s="22"/>
      <c r="V34" s="46"/>
    </row>
  </sheetData>
  <mergeCells count="99">
    <mergeCell ref="R32:U32"/>
    <mergeCell ref="A29:C29"/>
    <mergeCell ref="F29:L29"/>
    <mergeCell ref="N29:P29"/>
    <mergeCell ref="R29:U29"/>
    <mergeCell ref="A30:C30"/>
    <mergeCell ref="F30:L30"/>
    <mergeCell ref="N30:P30"/>
    <mergeCell ref="R30:U30"/>
    <mergeCell ref="A31:C31"/>
    <mergeCell ref="F31:L31"/>
    <mergeCell ref="N31:P31"/>
    <mergeCell ref="R31:U31"/>
    <mergeCell ref="A32:C32"/>
    <mergeCell ref="F32:L32"/>
    <mergeCell ref="N32:P32"/>
    <mergeCell ref="A26:C26"/>
    <mergeCell ref="F26:L26"/>
    <mergeCell ref="N26:P26"/>
    <mergeCell ref="R26:U26"/>
    <mergeCell ref="A27:C27"/>
    <mergeCell ref="F27:L27"/>
    <mergeCell ref="N27:P27"/>
    <mergeCell ref="R27:U27"/>
    <mergeCell ref="A28:C28"/>
    <mergeCell ref="F28:L28"/>
    <mergeCell ref="N28:P28"/>
    <mergeCell ref="R28:U28"/>
    <mergeCell ref="A23:C23"/>
    <mergeCell ref="F23:L23"/>
    <mergeCell ref="N23:P23"/>
    <mergeCell ref="R23:U23"/>
    <mergeCell ref="A24:C24"/>
    <mergeCell ref="F24:L24"/>
    <mergeCell ref="N24:P24"/>
    <mergeCell ref="R24:U24"/>
    <mergeCell ref="A25:C25"/>
    <mergeCell ref="F25:L25"/>
    <mergeCell ref="N25:P25"/>
    <mergeCell ref="R25:U25"/>
    <mergeCell ref="A20:C20"/>
    <mergeCell ref="F20:L20"/>
    <mergeCell ref="N20:P20"/>
    <mergeCell ref="R20:U20"/>
    <mergeCell ref="A21:C21"/>
    <mergeCell ref="F21:L21"/>
    <mergeCell ref="N21:P21"/>
    <mergeCell ref="R21:U21"/>
    <mergeCell ref="A22:C22"/>
    <mergeCell ref="F22:L22"/>
    <mergeCell ref="N22:P22"/>
    <mergeCell ref="R22:U22"/>
    <mergeCell ref="A18:C18"/>
    <mergeCell ref="F18:L18"/>
    <mergeCell ref="N18:P18"/>
    <mergeCell ref="R18:U18"/>
    <mergeCell ref="A19:C19"/>
    <mergeCell ref="F19:L19"/>
    <mergeCell ref="N19:P19"/>
    <mergeCell ref="R19:U19"/>
    <mergeCell ref="T17:U17"/>
    <mergeCell ref="D12:E12"/>
    <mergeCell ref="F12:T12"/>
    <mergeCell ref="D13:L16"/>
    <mergeCell ref="N13:O13"/>
    <mergeCell ref="P13:V16"/>
    <mergeCell ref="N14:O14"/>
    <mergeCell ref="N15:O15"/>
    <mergeCell ref="N16:O16"/>
    <mergeCell ref="A17:C17"/>
    <mergeCell ref="N17:P17"/>
    <mergeCell ref="H8:I8"/>
    <mergeCell ref="P8:Q8"/>
    <mergeCell ref="H9:I9"/>
    <mergeCell ref="P9:S9"/>
    <mergeCell ref="C10:D10"/>
    <mergeCell ref="F10:G10"/>
    <mergeCell ref="H10:I10"/>
    <mergeCell ref="Q10:S10"/>
    <mergeCell ref="H11:I11"/>
    <mergeCell ref="B4:C4"/>
    <mergeCell ref="D4:H4"/>
    <mergeCell ref="Q4:S4"/>
    <mergeCell ref="W4:Z5"/>
    <mergeCell ref="H5:I5"/>
    <mergeCell ref="P5:Q5"/>
    <mergeCell ref="H6:I6"/>
    <mergeCell ref="P6:Q6"/>
    <mergeCell ref="H7:I7"/>
    <mergeCell ref="P7:Q7"/>
    <mergeCell ref="W1:Z1"/>
    <mergeCell ref="C2:D2"/>
    <mergeCell ref="E2:I2"/>
    <mergeCell ref="K2:M2"/>
    <mergeCell ref="P2:Q2"/>
    <mergeCell ref="W2:X2"/>
    <mergeCell ref="Y2:Z3"/>
    <mergeCell ref="K3:L3"/>
    <mergeCell ref="W3:X3"/>
  </mergeCells>
  <conditionalFormatting sqref="T4">
    <cfRule type="containsText" dxfId="0" priority="1" stopIfTrue="1" operator="containsText" text="&gt;32">
      <formula>NOT(ISERROR(SEARCH("&gt;32", T4)))</formula>
    </cfRule>
  </conditionalFormatting>
  <dataValidations count="8">
    <dataValidation type="list" errorStyle="warning" allowBlank="1" showInputMessage="1" showErrorMessage="1" prompt="Click and enter a value from range Sheet1!U16:U72" sqref="H6:I9">
      <formula1>Arms!B2:B73</formula1>
    </dataValidation>
    <dataValidation type="list" errorStyle="warning" allowBlank="1" showInputMessage="1" showErrorMessage="1" prompt="Click and enter a value from range Sheet1!U84:U90" sqref="P6:Q6">
      <formula1>defense!I2:I9</formula1>
    </dataValidation>
    <dataValidation type="list" errorStyle="warning" allowBlank="1" showInputMessage="1" showErrorMessage="1" prompt="Click and enter a value from range Sheet1!U76:U81" sqref="P7:Q7">
      <formula1>defense!B2:B8</formula1>
    </dataValidation>
    <dataValidation type="list" errorStyle="warning" allowBlank="1" showInputMessage="1" showErrorMessage="1" prompt="Click and enter a value from range Sheet1!W5:W9" sqref="K3:L3">
      <formula1>TFTSheet1!W2:W3</formula1>
    </dataValidation>
    <dataValidation type="list" allowBlank="1" showErrorMessage="1" sqref="A19:C29">
      <formula1>spells!B2:B82</formula1>
    </dataValidation>
    <dataValidation type="list" allowBlank="1" showInputMessage="1" showErrorMessage="1" prompt="Click and enter a value from range Sheet1!U16:U72" sqref="A30:C32">
      <formula1>spells!B2:B82</formula1>
    </dataValidation>
    <dataValidation type="list" errorStyle="warning" allowBlank="1" showErrorMessage="1" sqref="N19:N32">
      <formula1>Talents!B2:B97</formula1>
    </dataValidation>
    <dataValidation type="list" errorStyle="warning" allowBlank="1" showInputMessage="1" showErrorMessage="1" prompt="Click and enter a value from range Sheet1!W5:W9" sqref="K2">
      <formula1>Race!B2:B132</formula1>
    </dataValidation>
  </dataValidations>
  <pageMargins left="0.7" right="0.7" top="0.75" bottom="0.75" header="0.3" footer="0.3"/>
  <pageSetup orientation="landscape" verticalDpi="4" r:id="rId1"/>
</worksheet>
</file>

<file path=xl/worksheets/sheet10.xml><?xml version="1.0" encoding="utf-8"?>
<worksheet xmlns="http://schemas.openxmlformats.org/spreadsheetml/2006/main" xmlns:r="http://schemas.openxmlformats.org/officeDocument/2006/relationships">
  <dimension ref="B1:O23"/>
  <sheetViews>
    <sheetView workbookViewId="0">
      <selection activeCell="I29" sqref="I29"/>
    </sheetView>
  </sheetViews>
  <sheetFormatPr defaultColWidth="17.140625" defaultRowHeight="12.75" customHeight="1"/>
  <cols>
    <col min="1" max="1" width="7.140625" customWidth="1"/>
    <col min="3" max="3" width="8.28515625" customWidth="1"/>
    <col min="4" max="5" width="7.42578125" customWidth="1"/>
    <col min="6" max="6" width="7.28515625" customWidth="1"/>
    <col min="7" max="7" width="8.140625" customWidth="1"/>
    <col min="8" max="8" width="3" customWidth="1"/>
    <col min="10" max="10" width="7.5703125" customWidth="1"/>
    <col min="11" max="11" width="6" customWidth="1"/>
    <col min="12" max="12" width="7.140625" customWidth="1"/>
    <col min="13" max="13" width="8.28515625" customWidth="1"/>
    <col min="14" max="14" width="9.140625" customWidth="1"/>
  </cols>
  <sheetData>
    <row r="1" spans="2:15" ht="12.75" customHeight="1">
      <c r="B1" s="4" t="s">
        <v>595</v>
      </c>
      <c r="C1" s="4" t="s">
        <v>21</v>
      </c>
      <c r="D1" s="4" t="s">
        <v>15</v>
      </c>
      <c r="E1" s="14" t="s">
        <v>405</v>
      </c>
      <c r="F1" s="14" t="s">
        <v>596</v>
      </c>
      <c r="G1" s="14" t="s">
        <v>597</v>
      </c>
      <c r="I1" s="14" t="s">
        <v>20</v>
      </c>
      <c r="J1" s="14" t="s">
        <v>598</v>
      </c>
      <c r="K1" s="14" t="s">
        <v>599</v>
      </c>
      <c r="L1" s="8" t="s">
        <v>18</v>
      </c>
      <c r="M1" s="9" t="s">
        <v>596</v>
      </c>
      <c r="N1" s="16" t="s">
        <v>600</v>
      </c>
      <c r="O1" s="14" t="s">
        <v>30</v>
      </c>
    </row>
    <row r="2" spans="2:15" ht="12.75" customHeight="1">
      <c r="B2" s="3" t="s">
        <v>30</v>
      </c>
      <c r="C2" s="3">
        <v>0</v>
      </c>
      <c r="D2" s="3">
        <v>0</v>
      </c>
      <c r="E2" s="3">
        <v>0</v>
      </c>
      <c r="F2" s="14"/>
      <c r="G2" s="14">
        <v>0</v>
      </c>
      <c r="I2" s="14" t="s">
        <v>30</v>
      </c>
      <c r="J2" s="14">
        <v>0</v>
      </c>
      <c r="K2" s="14">
        <v>0</v>
      </c>
      <c r="L2" s="8">
        <v>0</v>
      </c>
      <c r="M2" s="9">
        <v>0</v>
      </c>
      <c r="N2" s="16">
        <v>0</v>
      </c>
      <c r="O2" s="14" t="s">
        <v>601</v>
      </c>
    </row>
    <row r="3" spans="2:15" ht="12.75" customHeight="1">
      <c r="B3" s="3" t="s">
        <v>602</v>
      </c>
      <c r="C3" s="3">
        <v>1</v>
      </c>
      <c r="D3" s="3">
        <v>0</v>
      </c>
      <c r="E3" s="3">
        <v>0</v>
      </c>
      <c r="F3" s="3"/>
      <c r="G3" s="3">
        <v>0</v>
      </c>
      <c r="I3" s="14" t="s">
        <v>601</v>
      </c>
      <c r="J3" s="14">
        <v>1</v>
      </c>
      <c r="K3" s="14">
        <v>7</v>
      </c>
      <c r="L3" s="8">
        <v>100</v>
      </c>
      <c r="M3" s="9">
        <v>10</v>
      </c>
      <c r="N3" s="16">
        <v>-1</v>
      </c>
      <c r="O3" s="14" t="s">
        <v>603</v>
      </c>
    </row>
    <row r="4" spans="2:15" ht="12.75" customHeight="1">
      <c r="B4" s="14" t="s">
        <v>604</v>
      </c>
      <c r="C4" s="14">
        <v>1</v>
      </c>
      <c r="D4" s="14">
        <v>5</v>
      </c>
      <c r="E4" s="14">
        <v>30</v>
      </c>
      <c r="F4" s="14"/>
      <c r="G4" s="14">
        <v>0</v>
      </c>
      <c r="I4" s="14" t="s">
        <v>603</v>
      </c>
      <c r="J4" s="14">
        <v>2</v>
      </c>
      <c r="K4" s="14">
        <v>8</v>
      </c>
      <c r="L4" s="8">
        <v>200</v>
      </c>
      <c r="M4" s="9">
        <v>8</v>
      </c>
      <c r="N4" s="16">
        <v>-2</v>
      </c>
      <c r="O4" s="14" t="s">
        <v>72</v>
      </c>
    </row>
    <row r="5" spans="2:15" ht="12.75" customHeight="1">
      <c r="B5" s="3" t="s">
        <v>605</v>
      </c>
      <c r="C5" s="3">
        <v>1</v>
      </c>
      <c r="D5" s="3">
        <v>6</v>
      </c>
      <c r="E5" s="14">
        <v>40</v>
      </c>
      <c r="F5" s="3"/>
      <c r="G5" s="3">
        <v>0</v>
      </c>
      <c r="I5" s="14" t="s">
        <v>72</v>
      </c>
      <c r="J5" s="14">
        <v>3</v>
      </c>
      <c r="K5" s="14">
        <v>15</v>
      </c>
      <c r="L5" s="8">
        <v>300</v>
      </c>
      <c r="M5" s="9">
        <v>6</v>
      </c>
      <c r="N5" s="16">
        <v>-3</v>
      </c>
      <c r="O5" s="14" t="s">
        <v>26</v>
      </c>
    </row>
    <row r="6" spans="2:15" ht="12.75" customHeight="1">
      <c r="B6" s="14" t="s">
        <v>73</v>
      </c>
      <c r="C6" s="14">
        <v>2</v>
      </c>
      <c r="D6" s="14">
        <v>10</v>
      </c>
      <c r="E6" s="14">
        <v>50</v>
      </c>
      <c r="F6" s="14"/>
      <c r="G6" s="14">
        <v>-1</v>
      </c>
      <c r="I6" s="14" t="s">
        <v>26</v>
      </c>
      <c r="J6" s="14">
        <v>4</v>
      </c>
      <c r="K6" s="14">
        <v>20</v>
      </c>
      <c r="L6" s="8">
        <v>300</v>
      </c>
      <c r="M6" s="9">
        <v>6</v>
      </c>
      <c r="N6" s="16">
        <v>-4</v>
      </c>
      <c r="O6" s="14" t="s">
        <v>606</v>
      </c>
    </row>
    <row r="7" spans="2:15" ht="12.75" customHeight="1">
      <c r="B7" s="14" t="s">
        <v>607</v>
      </c>
      <c r="C7" s="14">
        <v>3</v>
      </c>
      <c r="D7" s="14">
        <v>15</v>
      </c>
      <c r="E7" s="14">
        <v>70</v>
      </c>
      <c r="F7" s="14"/>
      <c r="G7" s="14">
        <v>-2</v>
      </c>
      <c r="I7" s="14" t="s">
        <v>606</v>
      </c>
      <c r="J7" s="14">
        <v>5</v>
      </c>
      <c r="K7" s="14">
        <v>25</v>
      </c>
      <c r="L7" s="8">
        <v>500</v>
      </c>
      <c r="M7" s="9">
        <v>6</v>
      </c>
      <c r="N7" s="16">
        <v>-5</v>
      </c>
      <c r="O7" s="14" t="s">
        <v>608</v>
      </c>
    </row>
    <row r="8" spans="2:15" ht="12.75" customHeight="1">
      <c r="B8" s="14" t="s">
        <v>609</v>
      </c>
      <c r="C8" s="14">
        <v>1</v>
      </c>
      <c r="D8" s="14"/>
      <c r="E8" s="14"/>
      <c r="F8" s="14"/>
      <c r="G8" s="14">
        <v>0</v>
      </c>
      <c r="I8" s="14" t="s">
        <v>608</v>
      </c>
      <c r="J8" s="14">
        <v>6</v>
      </c>
      <c r="K8" s="14">
        <v>25</v>
      </c>
      <c r="L8" s="8">
        <v>5000</v>
      </c>
      <c r="M8" s="9">
        <v>6</v>
      </c>
      <c r="N8" s="16">
        <v>-5</v>
      </c>
      <c r="O8" s="14" t="s">
        <v>609</v>
      </c>
    </row>
    <row r="9" spans="2:15" ht="12.75" customHeight="1">
      <c r="B9" s="14"/>
      <c r="C9" s="14"/>
      <c r="D9" s="14"/>
      <c r="E9" s="14"/>
      <c r="F9" s="14"/>
      <c r="I9" s="14" t="s">
        <v>609</v>
      </c>
      <c r="J9" s="14">
        <v>1</v>
      </c>
      <c r="K9" s="14">
        <v>0</v>
      </c>
      <c r="L9" s="8">
        <v>0</v>
      </c>
      <c r="M9" s="9">
        <v>0</v>
      </c>
      <c r="N9" s="16"/>
      <c r="O9" s="3" t="s">
        <v>602</v>
      </c>
    </row>
    <row r="10" spans="2:15" ht="12.75" customHeight="1">
      <c r="B10" s="14"/>
      <c r="C10" s="14"/>
      <c r="E10" s="14"/>
      <c r="F10" s="14"/>
      <c r="I10" s="3" t="s">
        <v>602</v>
      </c>
      <c r="J10" s="3">
        <v>1</v>
      </c>
      <c r="K10" s="3">
        <v>0</v>
      </c>
      <c r="L10" s="3">
        <v>0</v>
      </c>
      <c r="M10" s="3">
        <v>0</v>
      </c>
      <c r="N10" s="3">
        <v>0</v>
      </c>
    </row>
    <row r="11" spans="2:15" ht="12.75" customHeight="1">
      <c r="B11" s="14"/>
      <c r="C11" s="14"/>
      <c r="E11" s="14"/>
      <c r="F11" s="14"/>
    </row>
    <row r="12" spans="2:15" ht="12.75" customHeight="1">
      <c r="B12" s="14"/>
      <c r="C12" s="14"/>
      <c r="E12" s="14"/>
      <c r="F12" s="14"/>
    </row>
    <row r="13" spans="2:15" ht="12.75" customHeight="1">
      <c r="B13" s="14"/>
      <c r="C13" s="14"/>
      <c r="E13" s="14"/>
      <c r="F13" s="14"/>
    </row>
    <row r="14" spans="2:15" ht="12.75" customHeight="1">
      <c r="B14" s="14"/>
      <c r="C14" s="14"/>
      <c r="E14" s="14"/>
      <c r="F14" s="14"/>
      <c r="H14">
        <v>18</v>
      </c>
      <c r="I14" t="s">
        <v>340</v>
      </c>
    </row>
    <row r="15" spans="2:15" ht="12.75" customHeight="1">
      <c r="B15" s="14"/>
      <c r="C15" s="14"/>
      <c r="E15" s="14"/>
      <c r="F15" s="14"/>
      <c r="H15">
        <v>18</v>
      </c>
      <c r="I15" t="s">
        <v>342</v>
      </c>
    </row>
    <row r="16" spans="2:15" ht="12.75" customHeight="1">
      <c r="B16" s="14"/>
      <c r="C16" s="14"/>
      <c r="E16" s="14"/>
      <c r="F16" s="14"/>
      <c r="H16">
        <v>18</v>
      </c>
      <c r="I16" t="s">
        <v>344</v>
      </c>
    </row>
    <row r="17" spans="2:9" ht="12.75" customHeight="1">
      <c r="B17" s="14"/>
      <c r="C17" s="14"/>
      <c r="H17">
        <v>20</v>
      </c>
      <c r="I17" t="s">
        <v>346</v>
      </c>
    </row>
    <row r="18" spans="2:9" ht="12.75" customHeight="1">
      <c r="H18">
        <v>20</v>
      </c>
      <c r="I18" t="s">
        <v>348</v>
      </c>
    </row>
    <row r="20" spans="2:9" ht="12.75" customHeight="1">
      <c r="H20">
        <v>24</v>
      </c>
      <c r="I20" t="s">
        <v>352</v>
      </c>
    </row>
    <row r="22" spans="2:9" ht="12.75" customHeight="1">
      <c r="H22">
        <v>26</v>
      </c>
      <c r="I22" t="s">
        <v>356</v>
      </c>
    </row>
    <row r="23" spans="2:9" ht="12.75" customHeight="1">
      <c r="H23">
        <v>28</v>
      </c>
      <c r="I23" t="s">
        <v>360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Y39"/>
  <sheetViews>
    <sheetView workbookViewId="0">
      <selection activeCell="G22" sqref="G22:Q23"/>
    </sheetView>
  </sheetViews>
  <sheetFormatPr defaultRowHeight="12.75"/>
  <cols>
    <col min="1" max="1" width="1.42578125" customWidth="1"/>
    <col min="2" max="2" width="4.28515625" customWidth="1"/>
    <col min="3" max="3" width="3.7109375" customWidth="1"/>
    <col min="4" max="4" width="4.42578125" customWidth="1"/>
    <col min="5" max="5" width="6" style="371" customWidth="1"/>
    <col min="6" max="6" width="6.85546875" customWidth="1"/>
    <col min="7" max="7" width="3.140625" customWidth="1"/>
    <col min="8" max="8" width="4.7109375" customWidth="1"/>
    <col min="9" max="9" width="6.28515625" style="371" customWidth="1"/>
    <col min="10" max="10" width="3" customWidth="1"/>
    <col min="11" max="11" width="3.140625" customWidth="1"/>
    <col min="12" max="12" width="3.28515625" customWidth="1"/>
    <col min="13" max="13" width="4.5703125" style="311" customWidth="1"/>
    <col min="14" max="14" width="3.7109375" customWidth="1"/>
    <col min="15" max="15" width="6" customWidth="1"/>
    <col min="16" max="16" width="3.5703125" customWidth="1"/>
    <col min="18" max="32" width="2.5703125" customWidth="1"/>
  </cols>
  <sheetData>
    <row r="1" spans="1:22" ht="6" customHeight="1"/>
    <row r="2" spans="1:22" s="21" customFormat="1" ht="11.25">
      <c r="A2" s="124"/>
      <c r="B2" s="124"/>
      <c r="C2" s="123"/>
      <c r="D2" s="22"/>
      <c r="E2" s="131" t="s">
        <v>614</v>
      </c>
      <c r="F2" s="132"/>
      <c r="G2" s="132"/>
      <c r="H2" s="132"/>
      <c r="I2" s="132"/>
      <c r="J2" s="132"/>
      <c r="K2" s="132"/>
      <c r="L2" s="132"/>
      <c r="M2" s="132"/>
      <c r="N2" s="132"/>
      <c r="O2" s="133"/>
      <c r="S2" s="22"/>
    </row>
    <row r="3" spans="1:22" s="21" customFormat="1" ht="11.25">
      <c r="A3" s="124"/>
      <c r="B3" s="124"/>
      <c r="C3" s="123"/>
      <c r="D3" s="22"/>
      <c r="E3" s="134"/>
      <c r="F3" s="135"/>
      <c r="G3" s="135"/>
      <c r="H3" s="135"/>
      <c r="I3" s="135"/>
      <c r="J3" s="135"/>
      <c r="K3" s="135"/>
      <c r="L3" s="135"/>
      <c r="M3" s="135"/>
      <c r="N3" s="135"/>
      <c r="O3" s="136"/>
      <c r="S3" s="22"/>
    </row>
    <row r="4" spans="1:22" s="21" customFormat="1" ht="11.25">
      <c r="A4" s="40"/>
      <c r="B4" s="40"/>
      <c r="C4" s="40"/>
      <c r="D4" s="40"/>
      <c r="E4" s="137"/>
      <c r="F4" s="138"/>
      <c r="G4" s="138"/>
      <c r="H4" s="138"/>
      <c r="I4" s="138"/>
      <c r="J4" s="138"/>
      <c r="K4" s="138"/>
      <c r="L4" s="138"/>
      <c r="M4" s="138"/>
      <c r="N4" s="138"/>
      <c r="O4" s="139"/>
      <c r="S4" s="40"/>
    </row>
    <row r="5" spans="1:22" s="21" customFormat="1" ht="13.5" customHeight="1">
      <c r="A5" s="40"/>
      <c r="B5" s="124"/>
      <c r="C5" s="123"/>
      <c r="D5" s="233" t="s">
        <v>850</v>
      </c>
      <c r="E5" s="234"/>
      <c r="F5" s="234"/>
      <c r="G5" s="234"/>
      <c r="H5" s="234"/>
      <c r="I5" s="234"/>
      <c r="J5" s="234"/>
      <c r="K5" s="234"/>
      <c r="L5" s="234"/>
      <c r="M5" s="234"/>
      <c r="N5" s="234"/>
      <c r="O5" s="234"/>
      <c r="P5" s="123"/>
      <c r="Q5" s="123"/>
      <c r="R5" s="123"/>
      <c r="S5" s="123"/>
      <c r="T5" s="123"/>
      <c r="U5" s="123"/>
      <c r="V5" s="124"/>
    </row>
    <row r="6" spans="1:22" s="21" customFormat="1" ht="23.25" customHeight="1">
      <c r="A6" s="40"/>
      <c r="B6" s="312"/>
      <c r="C6" s="313"/>
      <c r="D6" s="314"/>
      <c r="E6" s="315" t="s">
        <v>1</v>
      </c>
      <c r="F6" s="316" t="s">
        <v>397</v>
      </c>
      <c r="G6" s="317"/>
      <c r="H6" s="317"/>
      <c r="I6" s="318"/>
      <c r="J6" s="319"/>
      <c r="K6" s="319"/>
      <c r="L6" s="320" t="s">
        <v>33</v>
      </c>
      <c r="M6" s="321"/>
      <c r="N6" s="322">
        <f>IFERROR(VLOOKUP(F6,races,8,FALSE),0)</f>
        <v>0</v>
      </c>
      <c r="O6" s="323"/>
      <c r="P6" s="324"/>
      <c r="Q6" s="325"/>
    </row>
    <row r="7" spans="1:22" s="21" customFormat="1" ht="48.75" customHeight="1">
      <c r="A7" s="40"/>
      <c r="B7" s="346" t="s">
        <v>67</v>
      </c>
      <c r="C7" s="347"/>
      <c r="D7" s="326" t="str">
        <f>IFERROR(VLOOKUP(F6,races,10,FALSE), "")</f>
        <v>Melee or HTH:2d6  1 point of regen, during upkeep.</v>
      </c>
      <c r="E7" s="365"/>
      <c r="F7" s="327"/>
      <c r="G7" s="327"/>
      <c r="H7" s="327"/>
      <c r="I7" s="327"/>
      <c r="J7" s="327"/>
      <c r="K7" s="327"/>
      <c r="L7" s="327"/>
      <c r="M7" s="327"/>
      <c r="N7" s="327"/>
      <c r="O7" s="327"/>
      <c r="P7" s="327"/>
      <c r="Q7" s="328"/>
    </row>
    <row r="8" spans="1:22" s="21" customFormat="1" ht="16.5" customHeight="1">
      <c r="A8" s="40"/>
      <c r="B8" s="348" t="s">
        <v>11</v>
      </c>
      <c r="C8" s="349">
        <f>IFERROR(VLOOKUP(F6,races,2,FALSE),"")</f>
        <v>40</v>
      </c>
      <c r="D8" s="329">
        <v>40</v>
      </c>
      <c r="E8" s="372"/>
      <c r="F8" s="330" t="s">
        <v>66</v>
      </c>
      <c r="G8" s="360"/>
      <c r="H8" s="353"/>
      <c r="I8" s="353"/>
      <c r="J8" s="353"/>
      <c r="K8" s="353"/>
      <c r="L8" s="353"/>
      <c r="M8" s="353"/>
      <c r="N8" s="353"/>
      <c r="O8" s="353"/>
      <c r="P8" s="353"/>
      <c r="Q8" s="361"/>
    </row>
    <row r="9" spans="1:22" s="21" customFormat="1" ht="18.75" customHeight="1">
      <c r="A9" s="40"/>
      <c r="B9" s="348" t="s">
        <v>24</v>
      </c>
      <c r="C9" s="349">
        <f>IFERROR(VLOOKUP(F6,races,3,FALSE),"")</f>
        <v>12</v>
      </c>
      <c r="D9" s="331">
        <v>12</v>
      </c>
      <c r="E9" s="373"/>
      <c r="F9" s="332"/>
      <c r="G9" s="362"/>
      <c r="H9" s="363"/>
      <c r="I9" s="363"/>
      <c r="J9" s="363"/>
      <c r="K9" s="363"/>
      <c r="L9" s="363"/>
      <c r="M9" s="363"/>
      <c r="N9" s="363"/>
      <c r="O9" s="363"/>
      <c r="P9" s="363"/>
      <c r="Q9" s="364"/>
    </row>
    <row r="10" spans="1:22" s="21" customFormat="1" ht="17.25" customHeight="1">
      <c r="A10" s="40"/>
      <c r="B10" s="348" t="s">
        <v>27</v>
      </c>
      <c r="C10" s="349">
        <f>IFERROR(VLOOKUP(F6,races,4,FALSE),"")</f>
        <v>8</v>
      </c>
      <c r="D10" s="333">
        <v>8</v>
      </c>
      <c r="E10" s="374" t="s">
        <v>615</v>
      </c>
      <c r="F10" s="334" t="s">
        <v>30</v>
      </c>
      <c r="G10" s="354"/>
      <c r="H10" s="355">
        <f>VLOOKUP(F10,weapons,2,FALSE)</f>
        <v>0</v>
      </c>
      <c r="I10" s="356" t="s">
        <v>615</v>
      </c>
      <c r="J10" s="357" t="s">
        <v>30</v>
      </c>
      <c r="K10" s="358"/>
      <c r="L10" s="359"/>
      <c r="M10" s="336">
        <f>VLOOKUP(J10,weapons,2,FALSE)</f>
        <v>0</v>
      </c>
      <c r="N10" s="366"/>
      <c r="O10" s="366"/>
      <c r="P10" s="366"/>
      <c r="Q10" s="367"/>
    </row>
    <row r="11" spans="1:22" s="21" customFormat="1" ht="18.75" customHeight="1">
      <c r="A11" s="40"/>
      <c r="B11" s="350" t="s">
        <v>31</v>
      </c>
      <c r="C11" s="351">
        <f>IFERROR(VLOOKUP(F6,races,6,FALSE),"")</f>
        <v>8</v>
      </c>
      <c r="D11" s="370">
        <f>SUM(D8:D10)</f>
        <v>60</v>
      </c>
      <c r="E11" s="374" t="s">
        <v>616</v>
      </c>
      <c r="F11" s="157" t="s">
        <v>30</v>
      </c>
      <c r="G11" s="158"/>
      <c r="H11" s="90">
        <f>VLOOKUP(F11,armor,2,FALSE)</f>
        <v>0</v>
      </c>
      <c r="I11" s="337" t="s">
        <v>616</v>
      </c>
      <c r="J11" s="159" t="s">
        <v>30</v>
      </c>
      <c r="K11" s="160"/>
      <c r="L11" s="161"/>
      <c r="M11" s="90">
        <f>VLOOKUP(J11,shields,2,FALSE)</f>
        <v>0</v>
      </c>
      <c r="N11" s="341" t="s">
        <v>631</v>
      </c>
      <c r="O11" s="342"/>
      <c r="P11" s="90">
        <f>SUM(N6+H11+M11)</f>
        <v>0</v>
      </c>
      <c r="Q11" s="368"/>
    </row>
    <row r="12" spans="1:22" s="21" customFormat="1" ht="14.25" customHeight="1">
      <c r="A12" s="40"/>
      <c r="B12" s="352"/>
      <c r="C12" s="343"/>
      <c r="D12" s="343"/>
      <c r="E12" s="375"/>
      <c r="F12" s="343"/>
      <c r="G12" s="343"/>
      <c r="H12" s="343"/>
      <c r="I12" s="375"/>
      <c r="J12" s="343"/>
      <c r="K12" s="343"/>
      <c r="L12" s="343"/>
      <c r="M12" s="123"/>
      <c r="N12" s="123"/>
      <c r="O12" s="123"/>
      <c r="P12" s="123"/>
      <c r="Q12" s="123"/>
    </row>
    <row r="13" spans="1:22" s="21" customFormat="1" ht="23.25" customHeight="1">
      <c r="A13" s="40"/>
      <c r="B13" s="312"/>
      <c r="C13" s="313"/>
      <c r="D13" s="314"/>
      <c r="E13" s="344" t="s">
        <v>1</v>
      </c>
      <c r="F13" s="316" t="s">
        <v>641</v>
      </c>
      <c r="G13" s="317"/>
      <c r="H13" s="317"/>
      <c r="I13" s="318"/>
      <c r="J13" s="323"/>
      <c r="K13" s="325"/>
      <c r="L13" s="320" t="s">
        <v>33</v>
      </c>
      <c r="M13" s="321"/>
      <c r="N13" s="322">
        <f>IFERROR(VLOOKUP(F13,races,8,FALSE),0)</f>
        <v>0</v>
      </c>
      <c r="O13" s="319"/>
      <c r="P13" s="319"/>
      <c r="Q13" s="345"/>
    </row>
    <row r="14" spans="1:22" s="21" customFormat="1" ht="48.75" customHeight="1">
      <c r="A14" s="40"/>
      <c r="B14" s="346" t="s">
        <v>67</v>
      </c>
      <c r="C14" s="347"/>
      <c r="D14" s="326" t="str">
        <f>IFERROR(VLOOKUP(F13,races,10,FALSE), "")</f>
        <v>dam:1d6;   Base damage +1pt per round. 3/ST to remove bat. Will fly away once victim is dead. Dead victim becomes (d6) 3-15:nothing.  16:Zombie 17:Ghoul 18:Vampire;  treasure:</v>
      </c>
      <c r="E14" s="327"/>
      <c r="F14" s="327"/>
      <c r="G14" s="327"/>
      <c r="H14" s="327"/>
      <c r="I14" s="327"/>
      <c r="J14" s="327"/>
      <c r="K14" s="327"/>
      <c r="L14" s="327"/>
      <c r="M14" s="327"/>
      <c r="N14" s="327"/>
      <c r="O14" s="327"/>
      <c r="P14" s="327"/>
      <c r="Q14" s="328"/>
    </row>
    <row r="15" spans="1:22" s="21" customFormat="1" ht="16.5" customHeight="1">
      <c r="A15" s="40"/>
      <c r="B15" s="348" t="s">
        <v>11</v>
      </c>
      <c r="C15" s="349">
        <f>IFERROR(VLOOKUP(F13,races,2,FALSE),"")</f>
        <v>4</v>
      </c>
      <c r="D15" s="329">
        <v>4</v>
      </c>
      <c r="E15" s="372"/>
      <c r="F15" s="330" t="s">
        <v>66</v>
      </c>
      <c r="G15" s="360"/>
      <c r="H15" s="353"/>
      <c r="I15" s="353"/>
      <c r="J15" s="353"/>
      <c r="K15" s="353"/>
      <c r="L15" s="353"/>
      <c r="M15" s="353"/>
      <c r="N15" s="353"/>
      <c r="O15" s="353"/>
      <c r="P15" s="353"/>
      <c r="Q15" s="361"/>
    </row>
    <row r="16" spans="1:22" s="21" customFormat="1" ht="18.75" customHeight="1">
      <c r="A16" s="40"/>
      <c r="B16" s="348" t="s">
        <v>24</v>
      </c>
      <c r="C16" s="349">
        <f>IFERROR(VLOOKUP(F13,races,3,FALSE),"")</f>
        <v>10</v>
      </c>
      <c r="D16" s="331">
        <v>10</v>
      </c>
      <c r="E16" s="373"/>
      <c r="F16" s="332"/>
      <c r="G16" s="362"/>
      <c r="H16" s="363"/>
      <c r="I16" s="363"/>
      <c r="J16" s="363"/>
      <c r="K16" s="363"/>
      <c r="L16" s="363"/>
      <c r="M16" s="363"/>
      <c r="N16" s="363"/>
      <c r="O16" s="363"/>
      <c r="P16" s="363"/>
      <c r="Q16" s="364"/>
    </row>
    <row r="17" spans="1:17" s="21" customFormat="1" ht="17.25" customHeight="1">
      <c r="A17" s="40"/>
      <c r="B17" s="348" t="s">
        <v>27</v>
      </c>
      <c r="C17" s="349">
        <f>IFERROR(VLOOKUP(F13,races,4,FALSE),"")</f>
        <v>4</v>
      </c>
      <c r="D17" s="333">
        <v>4</v>
      </c>
      <c r="E17" s="374" t="s">
        <v>615</v>
      </c>
      <c r="F17" s="334" t="s">
        <v>30</v>
      </c>
      <c r="G17" s="335"/>
      <c r="H17" s="336">
        <f>VLOOKUP(F17,weapons,2,FALSE)</f>
        <v>0</v>
      </c>
      <c r="I17" s="337" t="s">
        <v>615</v>
      </c>
      <c r="J17" s="338" t="s">
        <v>30</v>
      </c>
      <c r="K17" s="339"/>
      <c r="L17" s="340"/>
      <c r="M17" s="336">
        <f>VLOOKUP(J17,weapons,2,FALSE)</f>
        <v>0</v>
      </c>
      <c r="N17" s="366"/>
      <c r="O17" s="366"/>
      <c r="P17" s="366"/>
      <c r="Q17" s="367"/>
    </row>
    <row r="18" spans="1:17" s="21" customFormat="1" ht="18.75" customHeight="1">
      <c r="A18" s="40"/>
      <c r="B18" s="350" t="s">
        <v>31</v>
      </c>
      <c r="C18" s="351">
        <f>IFERROR(VLOOKUP(F13,races,6,FALSE),"")</f>
        <v>0</v>
      </c>
      <c r="D18" s="370">
        <f>SUM(D15:D17)</f>
        <v>18</v>
      </c>
      <c r="E18" s="374" t="s">
        <v>616</v>
      </c>
      <c r="F18" s="157" t="s">
        <v>30</v>
      </c>
      <c r="G18" s="158"/>
      <c r="H18" s="90">
        <f>VLOOKUP(F18,armor,2,FALSE)</f>
        <v>0</v>
      </c>
      <c r="I18" s="337" t="s">
        <v>616</v>
      </c>
      <c r="J18" s="159" t="s">
        <v>30</v>
      </c>
      <c r="K18" s="160"/>
      <c r="L18" s="161"/>
      <c r="M18" s="90">
        <f>VLOOKUP(J18,shields,2,FALSE)</f>
        <v>0</v>
      </c>
      <c r="N18" s="341" t="s">
        <v>631</v>
      </c>
      <c r="O18" s="342"/>
      <c r="P18" s="90">
        <f>SUM(N13+H18+M18)</f>
        <v>0</v>
      </c>
      <c r="Q18" s="368"/>
    </row>
    <row r="19" spans="1:17" s="21" customFormat="1" ht="14.25" customHeight="1">
      <c r="A19" s="40"/>
      <c r="B19" s="352"/>
      <c r="C19" s="343"/>
      <c r="D19" s="343"/>
      <c r="E19" s="375"/>
      <c r="F19" s="343"/>
      <c r="G19" s="343"/>
      <c r="H19" s="343"/>
      <c r="I19" s="375"/>
      <c r="J19" s="343"/>
      <c r="K19" s="343"/>
      <c r="L19" s="343"/>
      <c r="M19" s="123"/>
      <c r="N19" s="123"/>
      <c r="O19" s="123"/>
      <c r="P19" s="123"/>
      <c r="Q19" s="123"/>
    </row>
    <row r="20" spans="1:17" s="21" customFormat="1" ht="23.25" customHeight="1">
      <c r="A20" s="40"/>
      <c r="B20" s="312"/>
      <c r="C20" s="313"/>
      <c r="D20" s="314"/>
      <c r="E20" s="344" t="s">
        <v>1</v>
      </c>
      <c r="F20" s="316" t="s">
        <v>639</v>
      </c>
      <c r="G20" s="317"/>
      <c r="H20" s="317"/>
      <c r="I20" s="318"/>
      <c r="J20" s="323"/>
      <c r="K20" s="325"/>
      <c r="L20" s="320" t="s">
        <v>33</v>
      </c>
      <c r="M20" s="321"/>
      <c r="N20" s="322">
        <f>IFERROR(VLOOKUP(F20,races,8,FALSE),0)</f>
        <v>0</v>
      </c>
      <c r="O20" s="319"/>
      <c r="P20" s="319"/>
      <c r="Q20" s="345"/>
    </row>
    <row r="21" spans="1:17" s="21" customFormat="1" ht="48.75" customHeight="1">
      <c r="A21" s="40"/>
      <c r="B21" s="346" t="s">
        <v>67</v>
      </c>
      <c r="C21" s="347"/>
      <c r="D21" s="326" t="str">
        <f>IFERROR(VLOOKUP(F20,races,10,FALSE), "")</f>
        <v>dam:1d6 bite;   4ft - 6ft long 8 leggedlizard. Forrests Grasslands and jungles. Each time it sits still it may paralyze an opponent with its gaze. This power acts like a freeze spellwith a 4/EN resistance. It lasts till the Basilisk is killed or dispel magic is cast.;  treasure:Lair</v>
      </c>
      <c r="E21" s="327"/>
      <c r="F21" s="327"/>
      <c r="G21" s="327"/>
      <c r="H21" s="327"/>
      <c r="I21" s="327"/>
      <c r="J21" s="327"/>
      <c r="K21" s="327"/>
      <c r="L21" s="327"/>
      <c r="M21" s="327"/>
      <c r="N21" s="327"/>
      <c r="O21" s="327"/>
      <c r="P21" s="327"/>
      <c r="Q21" s="328"/>
    </row>
    <row r="22" spans="1:17" s="21" customFormat="1" ht="16.5" customHeight="1">
      <c r="A22" s="40"/>
      <c r="B22" s="348" t="s">
        <v>11</v>
      </c>
      <c r="C22" s="349">
        <f>IFERROR(VLOOKUP(F20,races,2,FALSE),"")</f>
        <v>10</v>
      </c>
      <c r="D22" s="329">
        <v>10</v>
      </c>
      <c r="E22" s="372"/>
      <c r="F22" s="330" t="s">
        <v>66</v>
      </c>
      <c r="G22" s="360"/>
      <c r="H22" s="353"/>
      <c r="I22" s="353"/>
      <c r="J22" s="353"/>
      <c r="K22" s="353"/>
      <c r="L22" s="353"/>
      <c r="M22" s="353"/>
      <c r="N22" s="353"/>
      <c r="O22" s="353"/>
      <c r="P22" s="353"/>
      <c r="Q22" s="361"/>
    </row>
    <row r="23" spans="1:17" s="21" customFormat="1" ht="18.75" customHeight="1">
      <c r="A23" s="40"/>
      <c r="B23" s="348" t="s">
        <v>24</v>
      </c>
      <c r="C23" s="349">
        <f>IFERROR(VLOOKUP(F20,races,3,FALSE),"")</f>
        <v>8</v>
      </c>
      <c r="D23" s="331">
        <v>8</v>
      </c>
      <c r="E23" s="373"/>
      <c r="F23" s="332"/>
      <c r="G23" s="362"/>
      <c r="H23" s="363"/>
      <c r="I23" s="363"/>
      <c r="J23" s="363"/>
      <c r="K23" s="363"/>
      <c r="L23" s="363"/>
      <c r="M23" s="363"/>
      <c r="N23" s="363"/>
      <c r="O23" s="363"/>
      <c r="P23" s="363"/>
      <c r="Q23" s="364"/>
    </row>
    <row r="24" spans="1:17" s="21" customFormat="1" ht="17.25" customHeight="1">
      <c r="A24" s="40"/>
      <c r="B24" s="348" t="s">
        <v>27</v>
      </c>
      <c r="C24" s="349">
        <f>IFERROR(VLOOKUP(F20,races,4,FALSE),"")</f>
        <v>8</v>
      </c>
      <c r="D24" s="333">
        <v>8</v>
      </c>
      <c r="E24" s="374" t="s">
        <v>615</v>
      </c>
      <c r="F24" s="334" t="s">
        <v>30</v>
      </c>
      <c r="G24" s="335"/>
      <c r="H24" s="336">
        <f>VLOOKUP(F24,weapons,2,FALSE)</f>
        <v>0</v>
      </c>
      <c r="I24" s="337" t="s">
        <v>615</v>
      </c>
      <c r="J24" s="338" t="s">
        <v>30</v>
      </c>
      <c r="K24" s="339"/>
      <c r="L24" s="340"/>
      <c r="M24" s="336">
        <f>VLOOKUP(J24,weapons,2,FALSE)</f>
        <v>0</v>
      </c>
      <c r="N24" s="369"/>
      <c r="O24" s="366"/>
      <c r="P24" s="366"/>
      <c r="Q24" s="367"/>
    </row>
    <row r="25" spans="1:17" s="21" customFormat="1" ht="18.75" customHeight="1">
      <c r="A25" s="40"/>
      <c r="B25" s="350" t="s">
        <v>31</v>
      </c>
      <c r="C25" s="351">
        <f>IFERROR(VLOOKUP(F20,races,6,FALSE),"")</f>
        <v>0</v>
      </c>
      <c r="D25" s="370">
        <f>SUM(D22:D24)</f>
        <v>26</v>
      </c>
      <c r="E25" s="374" t="s">
        <v>616</v>
      </c>
      <c r="F25" s="157" t="s">
        <v>30</v>
      </c>
      <c r="G25" s="158"/>
      <c r="H25" s="90">
        <f>VLOOKUP(F25,armor,2,FALSE)</f>
        <v>0</v>
      </c>
      <c r="I25" s="337" t="s">
        <v>616</v>
      </c>
      <c r="J25" s="159" t="s">
        <v>30</v>
      </c>
      <c r="K25" s="160"/>
      <c r="L25" s="161"/>
      <c r="M25" s="90">
        <f>VLOOKUP(J25,shields,2,FALSE)</f>
        <v>0</v>
      </c>
      <c r="N25" s="341" t="s">
        <v>631</v>
      </c>
      <c r="O25" s="342"/>
      <c r="P25" s="90">
        <f>SUM(N20+H25+M25)</f>
        <v>0</v>
      </c>
      <c r="Q25" s="368"/>
    </row>
    <row r="26" spans="1:17" s="21" customFormat="1" ht="14.25" customHeight="1">
      <c r="A26" s="40"/>
      <c r="B26" s="352"/>
      <c r="C26" s="343"/>
      <c r="D26" s="343"/>
      <c r="E26" s="375"/>
      <c r="F26" s="343"/>
      <c r="G26" s="343"/>
      <c r="H26" s="343"/>
      <c r="I26" s="375"/>
      <c r="J26" s="343"/>
      <c r="K26" s="343"/>
      <c r="L26" s="343"/>
      <c r="M26" s="123"/>
      <c r="N26" s="123"/>
      <c r="O26" s="123"/>
      <c r="P26" s="123"/>
      <c r="Q26" s="123"/>
    </row>
    <row r="27" spans="1:17" s="21" customFormat="1" ht="23.25" customHeight="1">
      <c r="A27" s="40"/>
      <c r="B27" s="312"/>
      <c r="C27" s="313"/>
      <c r="D27" s="314"/>
      <c r="E27" s="344" t="s">
        <v>1</v>
      </c>
      <c r="F27" s="316" t="s">
        <v>844</v>
      </c>
      <c r="G27" s="317"/>
      <c r="H27" s="317"/>
      <c r="I27" s="318"/>
      <c r="J27" s="323"/>
      <c r="K27" s="325"/>
      <c r="L27" s="320" t="s">
        <v>33</v>
      </c>
      <c r="M27" s="321"/>
      <c r="N27" s="322">
        <f>IFERROR(VLOOKUP(F27,races,8,FALSE),0)</f>
        <v>0</v>
      </c>
      <c r="O27" s="319"/>
      <c r="P27" s="319"/>
      <c r="Q27" s="345"/>
    </row>
    <row r="28" spans="1:17" s="21" customFormat="1" ht="48.75" customHeight="1">
      <c r="A28" s="40"/>
      <c r="B28" s="346" t="s">
        <v>67</v>
      </c>
      <c r="C28" s="347"/>
      <c r="D28" s="326" t="str">
        <f>IFERROR(VLOOKUP(F27,races,10,FALSE), "")</f>
        <v>+3 to hit with bows and sling.</v>
      </c>
      <c r="E28" s="327"/>
      <c r="F28" s="327"/>
      <c r="G28" s="327"/>
      <c r="H28" s="327"/>
      <c r="I28" s="327"/>
      <c r="J28" s="327"/>
      <c r="K28" s="327"/>
      <c r="L28" s="327"/>
      <c r="M28" s="327"/>
      <c r="N28" s="327"/>
      <c r="O28" s="327"/>
      <c r="P28" s="327"/>
      <c r="Q28" s="328"/>
    </row>
    <row r="29" spans="1:17" s="21" customFormat="1" ht="16.5" customHeight="1">
      <c r="A29" s="40"/>
      <c r="B29" s="348" t="s">
        <v>11</v>
      </c>
      <c r="C29" s="349">
        <f>IFERROR(VLOOKUP(F27,races,2,FALSE),"")</f>
        <v>4</v>
      </c>
      <c r="D29" s="329">
        <v>11</v>
      </c>
      <c r="E29" s="372"/>
      <c r="F29" s="330" t="s">
        <v>66</v>
      </c>
      <c r="G29" s="360"/>
      <c r="H29" s="353"/>
      <c r="I29" s="353"/>
      <c r="J29" s="353"/>
      <c r="K29" s="353"/>
      <c r="L29" s="353"/>
      <c r="M29" s="353"/>
      <c r="N29" s="353"/>
      <c r="O29" s="353"/>
      <c r="P29" s="353"/>
      <c r="Q29" s="361"/>
    </row>
    <row r="30" spans="1:17" s="21" customFormat="1" ht="18.75" customHeight="1">
      <c r="A30" s="40"/>
      <c r="B30" s="348" t="s">
        <v>24</v>
      </c>
      <c r="C30" s="349">
        <f>IFERROR(VLOOKUP(F27,races,3,FALSE),"")</f>
        <v>12</v>
      </c>
      <c r="D30" s="331">
        <v>12</v>
      </c>
      <c r="E30" s="373"/>
      <c r="F30" s="332"/>
      <c r="G30" s="362"/>
      <c r="H30" s="363"/>
      <c r="I30" s="363"/>
      <c r="J30" s="363"/>
      <c r="K30" s="363"/>
      <c r="L30" s="363"/>
      <c r="M30" s="363"/>
      <c r="N30" s="363"/>
      <c r="O30" s="363"/>
      <c r="P30" s="363"/>
      <c r="Q30" s="364"/>
    </row>
    <row r="31" spans="1:17" s="21" customFormat="1" ht="17.25" customHeight="1">
      <c r="A31" s="40"/>
      <c r="B31" s="348" t="s">
        <v>27</v>
      </c>
      <c r="C31" s="349">
        <f>IFERROR(VLOOKUP(F27,races,4,FALSE),"")</f>
        <v>8</v>
      </c>
      <c r="D31" s="333">
        <v>0</v>
      </c>
      <c r="E31" s="374" t="s">
        <v>615</v>
      </c>
      <c r="F31" s="334" t="s">
        <v>30</v>
      </c>
      <c r="G31" s="335"/>
      <c r="H31" s="336">
        <f>VLOOKUP(F31,weapons,2,FALSE)</f>
        <v>0</v>
      </c>
      <c r="I31" s="337" t="s">
        <v>615</v>
      </c>
      <c r="J31" s="338" t="s">
        <v>30</v>
      </c>
      <c r="K31" s="339"/>
      <c r="L31" s="340"/>
      <c r="M31" s="336">
        <f>VLOOKUP(J31,weapons,2,FALSE)</f>
        <v>0</v>
      </c>
      <c r="N31" s="369"/>
      <c r="O31" s="366"/>
      <c r="P31" s="366"/>
      <c r="Q31" s="367"/>
    </row>
    <row r="32" spans="1:17" s="21" customFormat="1" ht="18.75" customHeight="1">
      <c r="A32" s="40"/>
      <c r="B32" s="350" t="s">
        <v>31</v>
      </c>
      <c r="C32" s="351">
        <f>IFERROR(VLOOKUP(F27,races,6,FALSE),"")</f>
        <v>6</v>
      </c>
      <c r="D32" s="370">
        <f>SUM(D29:D31)</f>
        <v>23</v>
      </c>
      <c r="E32" s="374" t="s">
        <v>616</v>
      </c>
      <c r="F32" s="157" t="s">
        <v>30</v>
      </c>
      <c r="G32" s="158"/>
      <c r="H32" s="90">
        <f>VLOOKUP(F32,armor,2,FALSE)</f>
        <v>0</v>
      </c>
      <c r="I32" s="337" t="s">
        <v>616</v>
      </c>
      <c r="J32" s="159" t="s">
        <v>30</v>
      </c>
      <c r="K32" s="160"/>
      <c r="L32" s="161"/>
      <c r="M32" s="90">
        <f>VLOOKUP(J32,shields,2,FALSE)</f>
        <v>0</v>
      </c>
      <c r="N32" s="341" t="s">
        <v>631</v>
      </c>
      <c r="O32" s="342"/>
      <c r="P32" s="90">
        <f>SUM(N27+H32+M32)</f>
        <v>0</v>
      </c>
      <c r="Q32" s="368"/>
    </row>
    <row r="33" spans="1:17" s="21" customFormat="1" ht="14.25" customHeight="1">
      <c r="A33" s="40"/>
      <c r="B33" s="352"/>
      <c r="C33" s="343"/>
      <c r="D33" s="343"/>
      <c r="E33" s="375"/>
      <c r="F33" s="343"/>
      <c r="G33" s="343"/>
      <c r="H33" s="343"/>
      <c r="I33" s="375"/>
      <c r="J33" s="343"/>
      <c r="K33" s="343"/>
      <c r="L33" s="343"/>
      <c r="M33" s="123"/>
      <c r="N33" s="123"/>
      <c r="O33" s="123"/>
      <c r="P33" s="123"/>
      <c r="Q33" s="123"/>
    </row>
    <row r="34" spans="1:17" s="21" customFormat="1" ht="23.25" customHeight="1">
      <c r="A34" s="40"/>
      <c r="B34" s="312"/>
      <c r="C34" s="313"/>
      <c r="D34" s="314"/>
      <c r="E34" s="344" t="s">
        <v>1</v>
      </c>
      <c r="F34" s="316" t="s">
        <v>78</v>
      </c>
      <c r="G34" s="317"/>
      <c r="H34" s="317"/>
      <c r="I34" s="318"/>
      <c r="J34" s="323"/>
      <c r="K34" s="325"/>
      <c r="L34" s="320" t="s">
        <v>33</v>
      </c>
      <c r="M34" s="321"/>
      <c r="N34" s="322">
        <f>IFERROR(VLOOKUP(F34,races,8,FALSE),0)</f>
        <v>2</v>
      </c>
      <c r="O34" s="319"/>
      <c r="P34" s="319"/>
      <c r="Q34" s="345"/>
    </row>
    <row r="35" spans="1:17" s="21" customFormat="1" ht="48.75" customHeight="1">
      <c r="A35" s="40"/>
      <c r="B35" s="346" t="s">
        <v>67</v>
      </c>
      <c r="C35" s="347"/>
      <c r="D35" s="326" t="str">
        <f>IFERROR(VLOOKUP(F34,races,10,FALSE), "")</f>
        <v>Claws: 2d</v>
      </c>
      <c r="E35" s="327"/>
      <c r="F35" s="327"/>
      <c r="G35" s="327"/>
      <c r="H35" s="327"/>
      <c r="I35" s="327"/>
      <c r="J35" s="327"/>
      <c r="K35" s="327"/>
      <c r="L35" s="327"/>
      <c r="M35" s="327"/>
      <c r="N35" s="327"/>
      <c r="O35" s="327"/>
      <c r="P35" s="327"/>
      <c r="Q35" s="328"/>
    </row>
    <row r="36" spans="1:17" s="21" customFormat="1" ht="16.5" customHeight="1">
      <c r="A36" s="40"/>
      <c r="B36" s="348" t="s">
        <v>11</v>
      </c>
      <c r="C36" s="349">
        <f>IFERROR(VLOOKUP(F34,races,2,FALSE),"")</f>
        <v>20</v>
      </c>
      <c r="D36" s="329">
        <v>25</v>
      </c>
      <c r="E36" s="372"/>
      <c r="F36" s="330" t="s">
        <v>66</v>
      </c>
      <c r="G36" s="360"/>
      <c r="H36" s="353"/>
      <c r="I36" s="353"/>
      <c r="J36" s="353"/>
      <c r="K36" s="353"/>
      <c r="L36" s="353"/>
      <c r="M36" s="353"/>
      <c r="N36" s="353"/>
      <c r="O36" s="353"/>
      <c r="P36" s="353"/>
      <c r="Q36" s="361"/>
    </row>
    <row r="37" spans="1:17" s="21" customFormat="1" ht="18.75" customHeight="1">
      <c r="A37" s="40"/>
      <c r="B37" s="348" t="s">
        <v>24</v>
      </c>
      <c r="C37" s="349">
        <f>IFERROR(VLOOKUP(F34,races,3,FALSE),"")</f>
        <v>11</v>
      </c>
      <c r="D37" s="331">
        <v>11</v>
      </c>
      <c r="E37" s="373"/>
      <c r="F37" s="332"/>
      <c r="G37" s="362"/>
      <c r="H37" s="363"/>
      <c r="I37" s="363"/>
      <c r="J37" s="363"/>
      <c r="K37" s="363"/>
      <c r="L37" s="363"/>
      <c r="M37" s="363"/>
      <c r="N37" s="363"/>
      <c r="O37" s="363"/>
      <c r="P37" s="363"/>
      <c r="Q37" s="364"/>
    </row>
    <row r="38" spans="1:17" s="21" customFormat="1" ht="17.25" customHeight="1">
      <c r="A38" s="40"/>
      <c r="B38" s="348" t="s">
        <v>27</v>
      </c>
      <c r="C38" s="349">
        <f>IFERROR(VLOOKUP(F34,races,4,FALSE),"")</f>
        <v>6</v>
      </c>
      <c r="D38" s="333">
        <v>6</v>
      </c>
      <c r="E38" s="374" t="s">
        <v>615</v>
      </c>
      <c r="F38" s="334" t="s">
        <v>30</v>
      </c>
      <c r="G38" s="335"/>
      <c r="H38" s="336">
        <f>VLOOKUP(F38,weapons,2,FALSE)</f>
        <v>0</v>
      </c>
      <c r="I38" s="337" t="s">
        <v>615</v>
      </c>
      <c r="J38" s="338" t="s">
        <v>30</v>
      </c>
      <c r="K38" s="339"/>
      <c r="L38" s="340"/>
      <c r="M38" s="336">
        <f>VLOOKUP(J38,weapons,2,FALSE)</f>
        <v>0</v>
      </c>
      <c r="N38" s="369"/>
      <c r="O38" s="366"/>
      <c r="P38" s="366"/>
      <c r="Q38" s="367"/>
    </row>
    <row r="39" spans="1:17" s="21" customFormat="1" ht="18.75" customHeight="1">
      <c r="A39" s="40"/>
      <c r="B39" s="350" t="s">
        <v>31</v>
      </c>
      <c r="C39" s="351">
        <f>IFERROR(VLOOKUP(F34,races,6,FALSE),"")</f>
        <v>10</v>
      </c>
      <c r="D39" s="370">
        <f>SUM(D36:D38)</f>
        <v>42</v>
      </c>
      <c r="E39" s="374" t="s">
        <v>616</v>
      </c>
      <c r="F39" s="157" t="s">
        <v>30</v>
      </c>
      <c r="G39" s="158"/>
      <c r="H39" s="90">
        <f>VLOOKUP(F39,armor,2,FALSE)</f>
        <v>0</v>
      </c>
      <c r="I39" s="337" t="s">
        <v>616</v>
      </c>
      <c r="J39" s="159" t="s">
        <v>30</v>
      </c>
      <c r="K39" s="160"/>
      <c r="L39" s="161"/>
      <c r="M39" s="90">
        <f>VLOOKUP(J39,shields,2,FALSE)</f>
        <v>0</v>
      </c>
      <c r="N39" s="341" t="s">
        <v>631</v>
      </c>
      <c r="O39" s="342"/>
      <c r="P39" s="90">
        <f>SUM(N34+H39+M39)</f>
        <v>2</v>
      </c>
      <c r="Q39" s="368"/>
    </row>
  </sheetData>
  <mergeCells count="57">
    <mergeCell ref="B35:C35"/>
    <mergeCell ref="D35:Q35"/>
    <mergeCell ref="F38:G38"/>
    <mergeCell ref="J38:L38"/>
    <mergeCell ref="F39:G39"/>
    <mergeCell ref="J39:L39"/>
    <mergeCell ref="N39:O39"/>
    <mergeCell ref="G36:Q37"/>
    <mergeCell ref="F31:G31"/>
    <mergeCell ref="J31:L31"/>
    <mergeCell ref="F32:G32"/>
    <mergeCell ref="J32:L32"/>
    <mergeCell ref="N32:O32"/>
    <mergeCell ref="B34:C34"/>
    <mergeCell ref="F34:I34"/>
    <mergeCell ref="L34:M34"/>
    <mergeCell ref="B27:C27"/>
    <mergeCell ref="F27:I27"/>
    <mergeCell ref="L27:M27"/>
    <mergeCell ref="B28:C28"/>
    <mergeCell ref="D28:Q28"/>
    <mergeCell ref="G29:Q30"/>
    <mergeCell ref="B21:C21"/>
    <mergeCell ref="D21:Q21"/>
    <mergeCell ref="F24:G24"/>
    <mergeCell ref="J24:L24"/>
    <mergeCell ref="F25:G25"/>
    <mergeCell ref="J25:L25"/>
    <mergeCell ref="N25:O25"/>
    <mergeCell ref="G22:Q23"/>
    <mergeCell ref="F17:G17"/>
    <mergeCell ref="J17:L17"/>
    <mergeCell ref="F18:G18"/>
    <mergeCell ref="J18:L18"/>
    <mergeCell ref="N18:O18"/>
    <mergeCell ref="B20:C20"/>
    <mergeCell ref="F20:I20"/>
    <mergeCell ref="L20:M20"/>
    <mergeCell ref="B13:C13"/>
    <mergeCell ref="F13:I13"/>
    <mergeCell ref="L13:M13"/>
    <mergeCell ref="B14:C14"/>
    <mergeCell ref="D14:Q14"/>
    <mergeCell ref="G15:Q16"/>
    <mergeCell ref="F10:G10"/>
    <mergeCell ref="J10:L10"/>
    <mergeCell ref="F11:G11"/>
    <mergeCell ref="J11:L11"/>
    <mergeCell ref="N11:O11"/>
    <mergeCell ref="G8:Q9"/>
    <mergeCell ref="E2:O4"/>
    <mergeCell ref="D5:O5"/>
    <mergeCell ref="B6:C6"/>
    <mergeCell ref="F6:I6"/>
    <mergeCell ref="L6:M6"/>
    <mergeCell ref="B7:C7"/>
    <mergeCell ref="D7:Q7"/>
  </mergeCells>
  <dataValidations count="4">
    <dataValidation type="list" errorStyle="warning" allowBlank="1" showInputMessage="1" showErrorMessage="1" prompt="Click and enter a value from range Sheet1!W5:W9" sqref="F34:I34 F13:I13 F20:I20 F27:I27 F6:I6">
      <formula1>Race!B2:B132</formula1>
    </dataValidation>
    <dataValidation type="list" errorStyle="warning" allowBlank="1" showInputMessage="1" showErrorMessage="1" prompt="Click and enter a value from range Sheet1!U76:U81" sqref="J25 J11 J18 J32 J39">
      <formula1>defense!B2:B8</formula1>
    </dataValidation>
    <dataValidation type="list" errorStyle="warning" allowBlank="1" showInputMessage="1" showErrorMessage="1" prompt="Click and enter a value from range Sheet1!U84:U90" sqref="F11 F25 F18 F32 F39">
      <formula1>defense!I2:I9</formula1>
    </dataValidation>
    <dataValidation type="list" errorStyle="warning" allowBlank="1" showInputMessage="1" showErrorMessage="1" prompt="Click and enter a value from range Sheet1!U16:U72" sqref="J10 J24 F10:G10 F24:G24 J17 J31 F17:G17 F31:G31 J38 F38:G38">
      <formula1>Arms!B2:B73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32"/>
  <sheetViews>
    <sheetView workbookViewId="0">
      <selection activeCell="Q24" sqref="Q24"/>
    </sheetView>
  </sheetViews>
  <sheetFormatPr defaultRowHeight="12.75"/>
  <cols>
    <col min="1" max="1" width="1.85546875" customWidth="1"/>
    <col min="2" max="2" width="3.5703125" customWidth="1"/>
    <col min="3" max="3" width="4.42578125" customWidth="1"/>
    <col min="4" max="4" width="3.7109375" customWidth="1"/>
    <col min="5" max="6" width="5" customWidth="1"/>
    <col min="7" max="7" width="3.7109375" customWidth="1"/>
    <col min="8" max="8" width="4.5703125" customWidth="1"/>
    <col min="9" max="9" width="5.5703125" customWidth="1"/>
    <col min="10" max="10" width="4.5703125" customWidth="1"/>
    <col min="11" max="11" width="2.7109375" customWidth="1"/>
    <col min="12" max="12" width="3.42578125" customWidth="1"/>
    <col min="13" max="13" width="3.28515625" customWidth="1"/>
    <col min="14" max="14" width="3.7109375" customWidth="1"/>
    <col min="15" max="15" width="2" customWidth="1"/>
    <col min="16" max="16" width="3.140625" customWidth="1"/>
    <col min="17" max="17" width="3.85546875" customWidth="1"/>
  </cols>
  <sheetData>
    <row r="1" spans="1:17" s="21" customFormat="1" ht="12.75" customHeight="1"/>
    <row r="2" spans="1:17" s="21" customFormat="1" ht="12.75" customHeight="1">
      <c r="E2" s="131" t="s">
        <v>630</v>
      </c>
      <c r="F2" s="132"/>
      <c r="G2" s="132"/>
      <c r="H2" s="132"/>
      <c r="I2" s="132"/>
      <c r="J2" s="132"/>
      <c r="K2" s="132"/>
      <c r="L2" s="132"/>
      <c r="M2" s="132"/>
      <c r="N2" s="132"/>
      <c r="O2" s="133"/>
    </row>
    <row r="3" spans="1:17" s="21" customFormat="1" ht="12.75" customHeight="1">
      <c r="E3" s="134"/>
      <c r="F3" s="135"/>
      <c r="G3" s="135"/>
      <c r="H3" s="135"/>
      <c r="I3" s="135"/>
      <c r="J3" s="135"/>
      <c r="K3" s="135"/>
      <c r="L3" s="135"/>
      <c r="M3" s="135"/>
      <c r="N3" s="135"/>
      <c r="O3" s="136"/>
    </row>
    <row r="4" spans="1:17" s="21" customFormat="1" ht="12.75" customHeight="1">
      <c r="E4" s="137"/>
      <c r="F4" s="138"/>
      <c r="G4" s="138"/>
      <c r="H4" s="138"/>
      <c r="I4" s="138"/>
      <c r="J4" s="138"/>
      <c r="K4" s="138"/>
      <c r="L4" s="138"/>
      <c r="M4" s="138"/>
      <c r="N4" s="138"/>
      <c r="O4" s="139"/>
    </row>
    <row r="5" spans="1:17" s="21" customFormat="1" ht="12.75" customHeight="1"/>
    <row r="6" spans="1:17" s="21" customFormat="1" ht="23.25" customHeight="1">
      <c r="A6" s="40"/>
      <c r="B6" s="121"/>
      <c r="C6" s="122"/>
      <c r="D6" s="86"/>
      <c r="E6" s="130" t="s">
        <v>1</v>
      </c>
      <c r="F6" s="140" t="s">
        <v>75</v>
      </c>
      <c r="G6" s="141"/>
      <c r="H6" s="141"/>
      <c r="I6" s="142"/>
      <c r="J6" s="121"/>
      <c r="K6" s="115"/>
      <c r="L6" s="143" t="s">
        <v>33</v>
      </c>
      <c r="M6" s="143"/>
      <c r="N6" s="99">
        <f>IFERROR(VLOOKUP(F6,races,8,FALSE),0)</f>
        <v>0</v>
      </c>
      <c r="O6" s="122"/>
      <c r="P6" s="122"/>
      <c r="Q6" s="122"/>
    </row>
    <row r="7" spans="1:17" s="21" customFormat="1" ht="36.75" customHeight="1">
      <c r="A7" s="40"/>
      <c r="B7" s="144" t="s">
        <v>67</v>
      </c>
      <c r="C7" s="145"/>
      <c r="D7" s="146" t="str">
        <f>IFERROR(VLOOKUP(F6,races,10,FALSE), "")</f>
        <v>2d6 attack, no armor, no Shield</v>
      </c>
      <c r="E7" s="147"/>
      <c r="F7" s="147"/>
      <c r="G7" s="147"/>
      <c r="H7" s="147"/>
      <c r="I7" s="147"/>
      <c r="J7" s="147"/>
      <c r="K7" s="147"/>
      <c r="L7" s="147"/>
      <c r="M7" s="147"/>
      <c r="N7" s="147"/>
      <c r="O7" s="147"/>
      <c r="P7" s="147"/>
      <c r="Q7" s="148"/>
    </row>
    <row r="8" spans="1:17" s="21" customFormat="1" ht="16.5" customHeight="1">
      <c r="A8" s="40"/>
      <c r="B8" s="97" t="s">
        <v>11</v>
      </c>
      <c r="C8" s="118">
        <f>IFERROR(VLOOKUP(F6,races,2,FALSE),"")</f>
        <v>12</v>
      </c>
      <c r="D8" s="93">
        <v>11</v>
      </c>
      <c r="E8" s="115"/>
      <c r="F8" s="89" t="s">
        <v>66</v>
      </c>
      <c r="G8" s="149"/>
      <c r="H8" s="150"/>
      <c r="I8" s="150"/>
      <c r="J8" s="150"/>
      <c r="K8" s="150"/>
      <c r="L8" s="150"/>
      <c r="M8" s="150"/>
      <c r="N8" s="150"/>
      <c r="O8" s="150"/>
      <c r="P8" s="150"/>
      <c r="Q8" s="151"/>
    </row>
    <row r="9" spans="1:17" s="21" customFormat="1" ht="16.5" customHeight="1">
      <c r="A9" s="40"/>
      <c r="B9" s="97" t="s">
        <v>24</v>
      </c>
      <c r="C9" s="118">
        <f>IFERROR(VLOOKUP(F6,races,3,FALSE),"")</f>
        <v>12</v>
      </c>
      <c r="D9" s="94">
        <v>11</v>
      </c>
      <c r="E9" s="112"/>
      <c r="F9" s="112"/>
      <c r="G9" s="112"/>
      <c r="H9" s="112"/>
      <c r="I9" s="112"/>
      <c r="J9" s="112"/>
      <c r="K9" s="112"/>
      <c r="L9" s="112"/>
      <c r="M9" s="112"/>
      <c r="N9" s="112"/>
      <c r="O9" s="112"/>
      <c r="P9" s="112"/>
      <c r="Q9" s="112"/>
    </row>
    <row r="10" spans="1:17" s="21" customFormat="1" ht="17.25" customHeight="1">
      <c r="A10" s="40"/>
      <c r="B10" s="113" t="s">
        <v>27</v>
      </c>
      <c r="C10" s="119">
        <f>IFERROR(VLOOKUP(F6,races,4,FALSE),"")</f>
        <v>8</v>
      </c>
      <c r="D10" s="95">
        <v>10</v>
      </c>
      <c r="E10" s="116" t="s">
        <v>615</v>
      </c>
      <c r="F10" s="152" t="s">
        <v>247</v>
      </c>
      <c r="G10" s="153"/>
      <c r="H10" s="114" t="str">
        <f>VLOOKUP(F10,weapons,2,FALSE)</f>
        <v>2d-2</v>
      </c>
      <c r="I10" s="117" t="s">
        <v>615</v>
      </c>
      <c r="J10" s="154" t="s">
        <v>30</v>
      </c>
      <c r="K10" s="155"/>
      <c r="L10" s="156"/>
      <c r="M10" s="91">
        <f>VLOOKUP(J10,weapons,2,FALSE)</f>
        <v>0</v>
      </c>
      <c r="N10" s="112"/>
      <c r="O10" s="112"/>
      <c r="P10" s="112"/>
      <c r="Q10" s="112"/>
    </row>
    <row r="11" spans="1:17" s="21" customFormat="1" ht="20.25" customHeight="1">
      <c r="A11" s="40"/>
      <c r="B11" s="98" t="s">
        <v>31</v>
      </c>
      <c r="C11" s="120">
        <f>IFERROR(VLOOKUP(F6,races,6,FALSE),"")</f>
        <v>10</v>
      </c>
      <c r="D11" s="96">
        <f>SUM(D8:D10)</f>
        <v>32</v>
      </c>
      <c r="E11" s="116" t="s">
        <v>616</v>
      </c>
      <c r="F11" s="157" t="s">
        <v>601</v>
      </c>
      <c r="G11" s="158"/>
      <c r="H11" s="90">
        <f>VLOOKUP(F11,armor,2,FALSE)</f>
        <v>1</v>
      </c>
      <c r="I11" s="117" t="s">
        <v>616</v>
      </c>
      <c r="J11" s="159" t="s">
        <v>30</v>
      </c>
      <c r="K11" s="160"/>
      <c r="L11" s="161"/>
      <c r="M11" s="92">
        <f>VLOOKUP(J11,shields,2,FALSE)</f>
        <v>0</v>
      </c>
      <c r="N11" s="162" t="s">
        <v>631</v>
      </c>
      <c r="O11" s="163"/>
      <c r="P11" s="90">
        <f>SUM(N6+H11+M11)</f>
        <v>1</v>
      </c>
      <c r="Q11" s="112"/>
    </row>
    <row r="12" spans="1:17" s="21" customFormat="1" ht="12.75" customHeight="1"/>
    <row r="13" spans="1:17" s="21" customFormat="1" ht="12.75" customHeight="1">
      <c r="B13" s="21" t="s">
        <v>618</v>
      </c>
      <c r="C13" s="88" t="s">
        <v>616</v>
      </c>
      <c r="D13" s="87">
        <f>P11</f>
        <v>1</v>
      </c>
      <c r="E13" s="88" t="s">
        <v>617</v>
      </c>
      <c r="F13" s="87">
        <f>MAX(C8,D8)</f>
        <v>12</v>
      </c>
      <c r="I13" s="21" t="s">
        <v>623</v>
      </c>
      <c r="J13" s="88" t="s">
        <v>616</v>
      </c>
      <c r="K13" s="87">
        <f>P11</f>
        <v>1</v>
      </c>
      <c r="L13" s="88" t="s">
        <v>617</v>
      </c>
      <c r="M13" s="87">
        <f>MAX(C8,D8)</f>
        <v>12</v>
      </c>
    </row>
    <row r="14" spans="1:17" s="21" customFormat="1" ht="12.75" customHeight="1">
      <c r="C14" s="88"/>
      <c r="D14" s="87"/>
      <c r="E14" s="88"/>
      <c r="F14" s="87"/>
      <c r="J14" s="88"/>
      <c r="K14" s="87"/>
      <c r="L14" s="88"/>
      <c r="M14" s="87"/>
    </row>
    <row r="15" spans="1:17" s="21" customFormat="1" ht="12.75" customHeight="1">
      <c r="B15" s="21" t="s">
        <v>619</v>
      </c>
      <c r="C15" s="88" t="s">
        <v>616</v>
      </c>
      <c r="D15" s="87">
        <f>P11</f>
        <v>1</v>
      </c>
      <c r="E15" s="88" t="s">
        <v>617</v>
      </c>
      <c r="F15" s="87">
        <f>MAX(C8,D8)</f>
        <v>12</v>
      </c>
      <c r="I15" s="21" t="s">
        <v>624</v>
      </c>
      <c r="J15" s="88" t="s">
        <v>616</v>
      </c>
      <c r="K15" s="87">
        <f>P11</f>
        <v>1</v>
      </c>
      <c r="L15" s="88" t="s">
        <v>617</v>
      </c>
      <c r="M15" s="87">
        <f>MAX(C8,D8)</f>
        <v>12</v>
      </c>
    </row>
    <row r="16" spans="1:17" s="21" customFormat="1" ht="12.75" customHeight="1">
      <c r="C16" s="88"/>
      <c r="D16" s="87"/>
      <c r="E16" s="88"/>
      <c r="F16" s="87"/>
      <c r="J16" s="88"/>
      <c r="K16" s="87"/>
      <c r="L16" s="88"/>
      <c r="M16" s="87"/>
    </row>
    <row r="17" spans="2:13" s="21" customFormat="1" ht="12.75" customHeight="1">
      <c r="B17" s="21" t="s">
        <v>620</v>
      </c>
      <c r="C17" s="88" t="s">
        <v>616</v>
      </c>
      <c r="D17" s="87">
        <f>P11</f>
        <v>1</v>
      </c>
      <c r="E17" s="88" t="s">
        <v>617</v>
      </c>
      <c r="F17" s="87">
        <f>MAX(C8,D8)</f>
        <v>12</v>
      </c>
      <c r="I17" s="21" t="s">
        <v>625</v>
      </c>
      <c r="J17" s="88" t="s">
        <v>616</v>
      </c>
      <c r="K17" s="87">
        <f>P11</f>
        <v>1</v>
      </c>
      <c r="L17" s="88" t="s">
        <v>617</v>
      </c>
      <c r="M17" s="87">
        <f>MAX(C8,D8)</f>
        <v>12</v>
      </c>
    </row>
    <row r="18" spans="2:13" s="21" customFormat="1" ht="12.75" customHeight="1">
      <c r="C18" s="88"/>
      <c r="D18" s="87"/>
      <c r="E18" s="88"/>
      <c r="F18" s="87"/>
      <c r="J18" s="88"/>
      <c r="K18" s="87"/>
      <c r="L18" s="88"/>
      <c r="M18" s="87"/>
    </row>
    <row r="19" spans="2:13" s="21" customFormat="1" ht="12.75" customHeight="1">
      <c r="B19" s="21" t="s">
        <v>621</v>
      </c>
      <c r="C19" s="88" t="s">
        <v>616</v>
      </c>
      <c r="D19" s="87">
        <f>P11</f>
        <v>1</v>
      </c>
      <c r="E19" s="88" t="s">
        <v>617</v>
      </c>
      <c r="F19" s="87">
        <f>MAX(C8,D8)</f>
        <v>12</v>
      </c>
      <c r="I19" s="21" t="s">
        <v>626</v>
      </c>
      <c r="J19" s="88" t="s">
        <v>616</v>
      </c>
      <c r="K19" s="87">
        <f>P11</f>
        <v>1</v>
      </c>
      <c r="L19" s="88" t="s">
        <v>617</v>
      </c>
      <c r="M19" s="87">
        <f>MAX(C8,D8)</f>
        <v>12</v>
      </c>
    </row>
    <row r="20" spans="2:13" s="21" customFormat="1" ht="12.75" customHeight="1">
      <c r="C20" s="88"/>
      <c r="D20" s="87"/>
      <c r="E20" s="88"/>
      <c r="F20" s="87"/>
      <c r="J20" s="88"/>
      <c r="K20" s="87"/>
      <c r="L20" s="88"/>
      <c r="M20" s="87"/>
    </row>
    <row r="21" spans="2:13" s="21" customFormat="1" ht="12.75" customHeight="1">
      <c r="B21" s="21" t="s">
        <v>622</v>
      </c>
      <c r="C21" s="88" t="s">
        <v>616</v>
      </c>
      <c r="D21" s="87">
        <f>P11</f>
        <v>1</v>
      </c>
      <c r="E21" s="88" t="s">
        <v>617</v>
      </c>
      <c r="F21" s="87">
        <f>MAX(C8,D8)</f>
        <v>12</v>
      </c>
      <c r="I21" s="21" t="s">
        <v>627</v>
      </c>
      <c r="J21" s="88" t="s">
        <v>616</v>
      </c>
      <c r="K21" s="87">
        <f>P11</f>
        <v>1</v>
      </c>
      <c r="L21" s="88" t="s">
        <v>617</v>
      </c>
      <c r="M21" s="87">
        <f>MAX(C8,D8)</f>
        <v>12</v>
      </c>
    </row>
    <row r="22" spans="2:13" s="21" customFormat="1" ht="12.75" customHeight="1">
      <c r="D22" s="87"/>
      <c r="E22" s="88"/>
      <c r="F22" s="87"/>
    </row>
    <row r="23" spans="2:13" s="21" customFormat="1" ht="12.75" customHeight="1"/>
    <row r="24" spans="2:13" s="21" customFormat="1" ht="12.75" customHeight="1"/>
    <row r="25" spans="2:13" s="21" customFormat="1" ht="12.75" customHeight="1"/>
    <row r="26" spans="2:13" s="21" customFormat="1" ht="12.75" customHeight="1"/>
    <row r="27" spans="2:13" s="21" customFormat="1" ht="12.75" customHeight="1"/>
    <row r="28" spans="2:13" s="21" customFormat="1" ht="12.75" customHeight="1"/>
    <row r="29" spans="2:13" s="21" customFormat="1" ht="12.75" customHeight="1"/>
    <row r="30" spans="2:13" s="21" customFormat="1" ht="12.75" customHeight="1"/>
    <row r="31" spans="2:13" s="21" customFormat="1" ht="12.75" customHeight="1"/>
    <row r="32" spans="2:13" s="21" customFormat="1"/>
  </sheetData>
  <mergeCells count="11">
    <mergeCell ref="F10:G10"/>
    <mergeCell ref="J10:L10"/>
    <mergeCell ref="F11:G11"/>
    <mergeCell ref="J11:L11"/>
    <mergeCell ref="N11:O11"/>
    <mergeCell ref="E2:O4"/>
    <mergeCell ref="F6:I6"/>
    <mergeCell ref="L6:M6"/>
    <mergeCell ref="B7:C7"/>
    <mergeCell ref="D7:Q7"/>
    <mergeCell ref="G8:Q8"/>
  </mergeCells>
  <dataValidations count="4">
    <dataValidation type="list" errorStyle="warning" allowBlank="1" showInputMessage="1" showErrorMessage="1" prompt="Click and enter a value from range Sheet1!W5:W9" sqref="F6">
      <formula1>Race!B2:B132</formula1>
    </dataValidation>
    <dataValidation type="list" errorStyle="warning" allowBlank="1" showInputMessage="1" showErrorMessage="1" prompt="Click and enter a value from range Sheet1!U76:U81" sqref="J11">
      <formula1>defense!B2:B8</formula1>
    </dataValidation>
    <dataValidation type="list" errorStyle="warning" allowBlank="1" showInputMessage="1" showErrorMessage="1" prompt="Click and enter a value from range Sheet1!U84:U90" sqref="F11">
      <formula1>defense!I2:I9</formula1>
    </dataValidation>
    <dataValidation type="list" errorStyle="warning" allowBlank="1" showInputMessage="1" showErrorMessage="1" prompt="Click and enter a value from range Sheet1!U16:U72" sqref="F10:G10 J10">
      <formula1>Arms!B2:B73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101"/>
  <sheetViews>
    <sheetView workbookViewId="0">
      <selection activeCell="G28" sqref="G28"/>
    </sheetView>
  </sheetViews>
  <sheetFormatPr defaultColWidth="17.140625" defaultRowHeight="12.75" customHeight="1"/>
  <cols>
    <col min="5" max="5" width="4.140625" customWidth="1"/>
  </cols>
  <sheetData>
    <row r="1" spans="1:9" ht="12.75" customHeight="1">
      <c r="B1" t="s">
        <v>82</v>
      </c>
      <c r="C1" s="18" t="s">
        <v>83</v>
      </c>
      <c r="D1" s="18"/>
      <c r="E1" s="18" t="s">
        <v>58</v>
      </c>
      <c r="F1" s="18" t="s">
        <v>84</v>
      </c>
      <c r="G1" s="18" t="s">
        <v>85</v>
      </c>
      <c r="H1" s="13" t="s">
        <v>60</v>
      </c>
    </row>
    <row r="2" spans="1:9" ht="12.75" customHeight="1">
      <c r="A2" t="str">
        <f t="shared" ref="A2:A33" si="0">CONCATENATE(B2,",",C2)</f>
        <v>-,-</v>
      </c>
      <c r="B2" t="s">
        <v>86</v>
      </c>
      <c r="C2" s="18" t="s">
        <v>86</v>
      </c>
      <c r="D2" s="18"/>
      <c r="E2" s="18"/>
      <c r="F2" s="18"/>
      <c r="G2" s="18"/>
      <c r="H2" s="13"/>
      <c r="I2" t="str">
        <f>CONCATENATE("IQ:",B2, ",  ", C2, " slots:", E2, ",", F2, ",", G2, ",", H2)</f>
        <v>IQ:-,  - slots:,,,</v>
      </c>
    </row>
    <row r="3" spans="1:9" ht="12.75" customHeight="1">
      <c r="A3" t="str">
        <f t="shared" si="0"/>
        <v>7,Axe / Mace</v>
      </c>
      <c r="B3">
        <v>7</v>
      </c>
      <c r="C3" s="10" t="s">
        <v>87</v>
      </c>
      <c r="D3" s="10" t="s">
        <v>88</v>
      </c>
      <c r="E3" s="10">
        <v>2</v>
      </c>
      <c r="F3" s="10"/>
      <c r="G3" s="10"/>
      <c r="H3" s="13"/>
    </row>
    <row r="4" spans="1:9" ht="12.75" customHeight="1">
      <c r="A4" t="str">
        <f t="shared" si="0"/>
        <v>7,Bow</v>
      </c>
      <c r="B4">
        <v>7</v>
      </c>
      <c r="C4" s="10" t="s">
        <v>89</v>
      </c>
      <c r="D4" s="10"/>
      <c r="E4" s="10">
        <v>2</v>
      </c>
      <c r="F4" s="10" t="s">
        <v>90</v>
      </c>
      <c r="G4" s="10"/>
      <c r="H4" s="13"/>
    </row>
    <row r="5" spans="1:9" ht="12.75" customHeight="1">
      <c r="A5" t="str">
        <f t="shared" si="0"/>
        <v>7,Crossbow</v>
      </c>
      <c r="B5">
        <v>7</v>
      </c>
      <c r="C5" s="10" t="s">
        <v>91</v>
      </c>
      <c r="D5" s="10"/>
      <c r="E5" s="10">
        <v>1</v>
      </c>
      <c r="F5" s="10"/>
      <c r="G5" s="10"/>
      <c r="H5" s="13"/>
    </row>
    <row r="6" spans="1:9" ht="12.75" customHeight="1">
      <c r="A6" t="str">
        <f t="shared" si="0"/>
        <v>7,Knife</v>
      </c>
      <c r="B6">
        <v>7</v>
      </c>
      <c r="C6" s="10" t="s">
        <v>92</v>
      </c>
      <c r="D6" s="10"/>
      <c r="E6" s="10">
        <v>1</v>
      </c>
      <c r="F6" s="10"/>
      <c r="G6" s="10"/>
      <c r="H6" s="13"/>
    </row>
    <row r="7" spans="1:9" ht="12.75" customHeight="1">
      <c r="A7" t="str">
        <f t="shared" si="0"/>
        <v>7,Pole Weapons</v>
      </c>
      <c r="B7">
        <v>7</v>
      </c>
      <c r="C7" s="10" t="s">
        <v>93</v>
      </c>
      <c r="D7" s="10"/>
      <c r="E7" s="10">
        <v>2</v>
      </c>
      <c r="F7" s="10" t="s">
        <v>94</v>
      </c>
      <c r="G7" s="10"/>
      <c r="H7" s="13"/>
    </row>
    <row r="8" spans="1:9" ht="12.75" customHeight="1">
      <c r="A8" t="str">
        <f t="shared" si="0"/>
        <v>7,Shield</v>
      </c>
      <c r="B8">
        <v>7</v>
      </c>
      <c r="C8" s="10" t="s">
        <v>95</v>
      </c>
      <c r="D8" s="10"/>
      <c r="E8" s="10">
        <v>1</v>
      </c>
      <c r="F8" s="10"/>
      <c r="G8" s="10"/>
      <c r="H8" s="13"/>
    </row>
    <row r="9" spans="1:9" ht="12.75" customHeight="1">
      <c r="A9" t="str">
        <f t="shared" si="0"/>
        <v>7,Sword</v>
      </c>
      <c r="B9">
        <v>7</v>
      </c>
      <c r="C9" s="10" t="s">
        <v>96</v>
      </c>
      <c r="D9" s="10"/>
      <c r="E9" s="10">
        <v>2</v>
      </c>
      <c r="F9" s="10" t="s">
        <v>97</v>
      </c>
      <c r="G9" s="10"/>
      <c r="H9" s="13"/>
    </row>
    <row r="10" spans="1:9" ht="12.75" customHeight="1">
      <c r="A10" t="str">
        <f t="shared" si="0"/>
        <v>8,BlowGun</v>
      </c>
      <c r="B10">
        <v>8</v>
      </c>
      <c r="C10" s="10" t="s">
        <v>98</v>
      </c>
      <c r="D10" s="10"/>
      <c r="E10" s="10">
        <v>1</v>
      </c>
      <c r="F10" s="10"/>
      <c r="G10" s="10"/>
      <c r="H10" s="13"/>
    </row>
    <row r="11" spans="1:9" ht="12.75" customHeight="1">
      <c r="A11" t="str">
        <f t="shared" si="0"/>
        <v>8,Boating</v>
      </c>
      <c r="B11">
        <v>8</v>
      </c>
      <c r="C11" s="10" t="s">
        <v>99</v>
      </c>
      <c r="D11" s="10"/>
      <c r="E11" s="10">
        <v>1</v>
      </c>
      <c r="F11" s="10"/>
      <c r="G11" s="10"/>
      <c r="H11" s="13"/>
    </row>
    <row r="12" spans="1:9" ht="12.75" customHeight="1">
      <c r="A12" t="str">
        <f t="shared" si="0"/>
        <v>8,Bola</v>
      </c>
      <c r="B12">
        <v>8</v>
      </c>
      <c r="C12" s="10" t="s">
        <v>100</v>
      </c>
      <c r="D12" s="10"/>
      <c r="E12" s="10">
        <v>1</v>
      </c>
      <c r="F12" s="10" t="s">
        <v>101</v>
      </c>
      <c r="G12" s="10" t="s">
        <v>102</v>
      </c>
      <c r="H12" s="13"/>
    </row>
    <row r="13" spans="1:9" ht="12.75" customHeight="1">
      <c r="A13" t="str">
        <f t="shared" si="0"/>
        <v>8,Boomerang</v>
      </c>
      <c r="B13">
        <v>8</v>
      </c>
      <c r="C13" s="10" t="s">
        <v>103</v>
      </c>
      <c r="D13" s="10"/>
      <c r="E13" s="10">
        <v>1</v>
      </c>
      <c r="F13" s="10" t="s">
        <v>104</v>
      </c>
      <c r="G13" s="10" t="s">
        <v>102</v>
      </c>
      <c r="H13" s="13"/>
    </row>
    <row r="14" spans="1:9" ht="12.75" customHeight="1">
      <c r="A14" t="str">
        <f t="shared" si="0"/>
        <v>8,Cestus</v>
      </c>
      <c r="B14">
        <v>8</v>
      </c>
      <c r="C14" s="10" t="s">
        <v>105</v>
      </c>
      <c r="D14" s="10"/>
      <c r="E14" s="10">
        <v>1</v>
      </c>
      <c r="F14" s="10"/>
      <c r="G14" s="10"/>
      <c r="H14" s="13"/>
    </row>
    <row r="15" spans="1:9" ht="12.75" customHeight="1">
      <c r="A15" t="str">
        <f t="shared" si="0"/>
        <v>8,Farming</v>
      </c>
      <c r="B15">
        <v>8</v>
      </c>
      <c r="C15" s="10" t="s">
        <v>106</v>
      </c>
      <c r="D15" s="10"/>
      <c r="E15" s="10">
        <v>1</v>
      </c>
      <c r="F15" s="10"/>
      <c r="G15" s="10"/>
      <c r="H15" s="13"/>
    </row>
    <row r="16" spans="1:9" ht="12.75" customHeight="1">
      <c r="A16" t="str">
        <f t="shared" si="0"/>
        <v>8,Guns</v>
      </c>
      <c r="B16">
        <v>8</v>
      </c>
      <c r="C16" s="10" t="s">
        <v>107</v>
      </c>
      <c r="D16" s="10"/>
      <c r="E16" s="10">
        <v>2</v>
      </c>
      <c r="F16" s="10" t="s">
        <v>108</v>
      </c>
      <c r="G16" s="10"/>
      <c r="H16" s="13"/>
    </row>
    <row r="17" spans="1:8" ht="12.75" customHeight="1">
      <c r="A17" t="str">
        <f t="shared" si="0"/>
        <v>8,Horsemanship</v>
      </c>
      <c r="B17">
        <v>8</v>
      </c>
      <c r="C17" s="10" t="s">
        <v>109</v>
      </c>
      <c r="D17" s="10"/>
      <c r="E17" s="10">
        <v>1</v>
      </c>
      <c r="F17" s="10"/>
      <c r="G17" s="10"/>
      <c r="H17" s="13"/>
    </row>
    <row r="18" spans="1:8" ht="12.75" customHeight="1">
      <c r="A18" t="str">
        <f t="shared" si="0"/>
        <v>8,Lasso</v>
      </c>
      <c r="B18">
        <v>8</v>
      </c>
      <c r="C18" s="10" t="s">
        <v>110</v>
      </c>
      <c r="D18" s="10"/>
      <c r="E18" s="10">
        <v>2</v>
      </c>
      <c r="F18" s="10"/>
      <c r="G18" s="10"/>
      <c r="H18" s="13"/>
    </row>
    <row r="19" spans="1:8" ht="12.75" customHeight="1">
      <c r="A19" t="str">
        <f t="shared" si="0"/>
        <v>8,Literacy</v>
      </c>
      <c r="B19">
        <v>8</v>
      </c>
      <c r="C19" s="10" t="s">
        <v>111</v>
      </c>
      <c r="D19" s="10"/>
      <c r="E19" s="10">
        <v>1</v>
      </c>
      <c r="F19" s="10"/>
      <c r="G19" s="10"/>
      <c r="H19" s="13"/>
    </row>
    <row r="20" spans="1:8" ht="12.75" customHeight="1">
      <c r="A20" t="str">
        <f t="shared" si="0"/>
        <v>8,Naginata</v>
      </c>
      <c r="B20">
        <v>8</v>
      </c>
      <c r="C20" s="10" t="s">
        <v>112</v>
      </c>
      <c r="D20" s="10"/>
      <c r="E20" s="10">
        <v>1</v>
      </c>
      <c r="F20" s="10" t="s">
        <v>104</v>
      </c>
      <c r="G20" s="10" t="s">
        <v>113</v>
      </c>
      <c r="H20" s="13"/>
    </row>
    <row r="21" spans="1:8" ht="12.75" customHeight="1">
      <c r="A21" t="str">
        <f t="shared" si="0"/>
        <v>8,Net &amp; Trident</v>
      </c>
      <c r="B21">
        <v>8</v>
      </c>
      <c r="C21" s="10" t="s">
        <v>114</v>
      </c>
      <c r="D21" s="10"/>
      <c r="E21" s="10">
        <v>1</v>
      </c>
      <c r="F21" s="10" t="s">
        <v>104</v>
      </c>
      <c r="G21" s="10" t="s">
        <v>115</v>
      </c>
      <c r="H21" s="13"/>
    </row>
    <row r="22" spans="1:8" ht="12.75" customHeight="1">
      <c r="A22" t="str">
        <f t="shared" si="0"/>
        <v>8,Nunchuks</v>
      </c>
      <c r="B22">
        <v>8</v>
      </c>
      <c r="C22" s="10" t="s">
        <v>116</v>
      </c>
      <c r="D22" s="10"/>
      <c r="E22" s="10">
        <v>1</v>
      </c>
      <c r="F22" s="10"/>
      <c r="G22" s="10"/>
      <c r="H22" s="13"/>
    </row>
    <row r="23" spans="1:8" ht="12.75" customHeight="1">
      <c r="A23" t="str">
        <f t="shared" si="0"/>
        <v>8,Quarterstaff</v>
      </c>
      <c r="B23">
        <v>8</v>
      </c>
      <c r="C23" s="10" t="s">
        <v>117</v>
      </c>
      <c r="D23" s="10"/>
      <c r="E23" s="10">
        <v>1</v>
      </c>
      <c r="F23" s="10"/>
      <c r="G23" s="10"/>
      <c r="H23" s="13"/>
    </row>
    <row r="24" spans="1:8" ht="12.75" customHeight="1">
      <c r="A24" t="str">
        <f t="shared" si="0"/>
        <v>8,Running</v>
      </c>
      <c r="B24">
        <v>8</v>
      </c>
      <c r="C24" s="10" t="s">
        <v>118</v>
      </c>
      <c r="D24" s="10"/>
      <c r="E24" s="10">
        <v>2</v>
      </c>
      <c r="F24" s="10"/>
      <c r="G24" s="10"/>
      <c r="H24" s="13"/>
    </row>
    <row r="25" spans="1:8" ht="12.75" customHeight="1">
      <c r="A25" t="str">
        <f t="shared" si="0"/>
        <v>8,Seamanship</v>
      </c>
      <c r="B25">
        <v>8</v>
      </c>
      <c r="C25" s="10" t="s">
        <v>119</v>
      </c>
      <c r="D25" s="10"/>
      <c r="E25" s="10">
        <v>1</v>
      </c>
      <c r="F25" s="10"/>
      <c r="G25" s="10"/>
      <c r="H25" s="13"/>
    </row>
    <row r="26" spans="1:8" ht="12.75" customHeight="1">
      <c r="A26" t="str">
        <f t="shared" si="0"/>
        <v>8,Sex Appeal</v>
      </c>
      <c r="B26">
        <v>8</v>
      </c>
      <c r="C26" s="10" t="s">
        <v>120</v>
      </c>
      <c r="D26" s="10"/>
      <c r="E26" s="10">
        <v>1</v>
      </c>
      <c r="F26" s="10"/>
      <c r="G26" s="10"/>
      <c r="H26" s="13"/>
    </row>
    <row r="27" spans="1:8" ht="12.75" customHeight="1">
      <c r="A27" t="str">
        <f t="shared" si="0"/>
        <v>8,Sha-Ken</v>
      </c>
      <c r="B27">
        <v>8</v>
      </c>
      <c r="C27" s="10" t="s">
        <v>121</v>
      </c>
      <c r="D27" s="10"/>
      <c r="E27" s="10">
        <v>1</v>
      </c>
      <c r="F27" s="10" t="s">
        <v>104</v>
      </c>
      <c r="G27" s="10" t="s">
        <v>102</v>
      </c>
      <c r="H27" s="13"/>
    </row>
    <row r="28" spans="1:8" ht="12.75" customHeight="1">
      <c r="A28" t="str">
        <f t="shared" si="0"/>
        <v>8,Spear-Thrower</v>
      </c>
      <c r="B28">
        <v>8</v>
      </c>
      <c r="C28" s="10" t="s">
        <v>122</v>
      </c>
      <c r="D28" s="10"/>
      <c r="E28" s="10">
        <v>1</v>
      </c>
      <c r="F28" s="10" t="s">
        <v>104</v>
      </c>
      <c r="G28" s="10" t="s">
        <v>123</v>
      </c>
      <c r="H28" s="13" t="s">
        <v>124</v>
      </c>
    </row>
    <row r="29" spans="1:8" ht="12.75" customHeight="1">
      <c r="A29" t="str">
        <f t="shared" si="0"/>
        <v>8,Thrown Weapons</v>
      </c>
      <c r="B29">
        <v>8</v>
      </c>
      <c r="C29" s="10" t="s">
        <v>125</v>
      </c>
      <c r="D29" s="10"/>
      <c r="E29" s="10">
        <v>2</v>
      </c>
      <c r="F29" s="10"/>
      <c r="G29" s="10"/>
      <c r="H29" s="13" t="s">
        <v>126</v>
      </c>
    </row>
    <row r="30" spans="1:8" ht="12.75" customHeight="1">
      <c r="A30" t="str">
        <f t="shared" si="0"/>
        <v>8,Whip</v>
      </c>
      <c r="B30">
        <v>8</v>
      </c>
      <c r="C30" s="10" t="s">
        <v>127</v>
      </c>
      <c r="D30" s="10"/>
      <c r="E30" s="10">
        <v>1</v>
      </c>
      <c r="F30" s="10"/>
      <c r="G30" s="10"/>
      <c r="H30" s="13"/>
    </row>
    <row r="31" spans="1:8" ht="12.75" customHeight="1">
      <c r="A31" t="str">
        <f t="shared" si="0"/>
        <v>8,Swimming</v>
      </c>
      <c r="B31">
        <v>8</v>
      </c>
      <c r="C31" s="10" t="s">
        <v>128</v>
      </c>
      <c r="D31" s="10"/>
      <c r="E31" s="10">
        <v>1</v>
      </c>
      <c r="F31" s="10"/>
      <c r="G31" s="10"/>
      <c r="H31" s="13"/>
    </row>
    <row r="32" spans="1:8" ht="12.75" customHeight="1">
      <c r="A32" t="str">
        <f t="shared" si="0"/>
        <v>9,Acute Hearing</v>
      </c>
      <c r="B32">
        <v>9</v>
      </c>
      <c r="C32" s="14" t="s">
        <v>129</v>
      </c>
      <c r="D32" s="14"/>
      <c r="E32" s="14">
        <v>3</v>
      </c>
      <c r="F32" s="14"/>
      <c r="G32" s="14"/>
      <c r="H32" s="13"/>
    </row>
    <row r="33" spans="1:8" ht="12.75" customHeight="1">
      <c r="A33" t="str">
        <f t="shared" si="0"/>
        <v>9,Alertness</v>
      </c>
      <c r="B33">
        <v>9</v>
      </c>
      <c r="C33" s="14" t="s">
        <v>130</v>
      </c>
      <c r="D33" s="14"/>
      <c r="E33" s="14">
        <v>2</v>
      </c>
      <c r="F33" s="14"/>
      <c r="G33" s="14"/>
      <c r="H33" s="13" t="s">
        <v>131</v>
      </c>
    </row>
    <row r="34" spans="1:8" ht="12.75" customHeight="1">
      <c r="A34" t="str">
        <f t="shared" ref="A34:A65" si="1">CONCATENATE(B34,",",C34)</f>
        <v>9,Animal Handler</v>
      </c>
      <c r="B34">
        <v>9</v>
      </c>
      <c r="C34" s="14" t="s">
        <v>132</v>
      </c>
      <c r="D34" s="14"/>
      <c r="E34" s="14">
        <v>2</v>
      </c>
      <c r="F34" s="14"/>
      <c r="G34" s="14"/>
      <c r="H34" s="13"/>
    </row>
    <row r="35" spans="1:8" ht="12.75" customHeight="1">
      <c r="A35" t="str">
        <f t="shared" si="1"/>
        <v>9,Bard</v>
      </c>
      <c r="B35">
        <v>9</v>
      </c>
      <c r="C35" s="14" t="s">
        <v>133</v>
      </c>
      <c r="D35" s="14"/>
      <c r="E35" s="14">
        <v>2</v>
      </c>
      <c r="F35" s="14"/>
      <c r="G35" s="14"/>
      <c r="H35" s="13"/>
    </row>
    <row r="36" spans="1:8" ht="12.75" customHeight="1">
      <c r="A36" t="str">
        <f t="shared" si="1"/>
        <v>9,Charisma</v>
      </c>
      <c r="B36">
        <v>9</v>
      </c>
      <c r="C36" s="14" t="s">
        <v>134</v>
      </c>
      <c r="D36" s="14"/>
      <c r="E36" s="14">
        <v>2</v>
      </c>
      <c r="F36" s="14"/>
      <c r="G36" s="14"/>
      <c r="H36" s="13"/>
    </row>
    <row r="37" spans="1:8" ht="12.75" customHeight="1">
      <c r="A37" t="str">
        <f t="shared" si="1"/>
        <v>9,Climbing</v>
      </c>
      <c r="B37">
        <v>9</v>
      </c>
      <c r="C37" s="14" t="s">
        <v>135</v>
      </c>
      <c r="D37" s="14"/>
      <c r="E37" s="14">
        <v>1</v>
      </c>
      <c r="F37" s="14"/>
      <c r="G37" s="14"/>
      <c r="H37" s="13"/>
    </row>
    <row r="38" spans="1:8" ht="12.75" customHeight="1">
      <c r="A38" t="str">
        <f t="shared" si="1"/>
        <v>9,Detect Traps</v>
      </c>
      <c r="B38">
        <v>9</v>
      </c>
      <c r="C38" s="14" t="s">
        <v>136</v>
      </c>
      <c r="D38" s="14"/>
      <c r="E38" s="14">
        <v>2</v>
      </c>
      <c r="F38" s="14"/>
      <c r="G38" s="14"/>
      <c r="H38" s="13" t="s">
        <v>137</v>
      </c>
    </row>
    <row r="39" spans="1:8" ht="12.75" customHeight="1">
      <c r="A39" t="str">
        <f t="shared" si="1"/>
        <v>9,Diving</v>
      </c>
      <c r="B39">
        <v>9</v>
      </c>
      <c r="C39" s="14" t="s">
        <v>138</v>
      </c>
      <c r="D39" s="14"/>
      <c r="E39" s="14">
        <v>1</v>
      </c>
      <c r="F39" s="14" t="s">
        <v>104</v>
      </c>
      <c r="G39" s="14" t="s">
        <v>139</v>
      </c>
      <c r="H39" s="13"/>
    </row>
    <row r="40" spans="1:8" ht="12.75" customHeight="1">
      <c r="A40" t="str">
        <f t="shared" si="1"/>
        <v>9,Driver</v>
      </c>
      <c r="B40">
        <v>9</v>
      </c>
      <c r="C40" s="14" t="s">
        <v>140</v>
      </c>
      <c r="D40" s="14"/>
      <c r="E40" s="14">
        <v>1</v>
      </c>
      <c r="F40" s="14"/>
      <c r="G40" s="14"/>
      <c r="H40" s="13"/>
    </row>
    <row r="41" spans="1:8" ht="12.75" customHeight="1">
      <c r="A41" t="str">
        <f t="shared" si="1"/>
        <v>9,Missile Weapons</v>
      </c>
      <c r="B41">
        <v>9</v>
      </c>
      <c r="C41" s="14" t="s">
        <v>141</v>
      </c>
      <c r="D41" s="14"/>
      <c r="E41" s="14">
        <v>3</v>
      </c>
      <c r="F41" s="14"/>
      <c r="G41" s="14"/>
      <c r="H41" s="13"/>
    </row>
    <row r="42" spans="1:8" ht="12.75" customHeight="1">
      <c r="A42" t="str">
        <f t="shared" si="1"/>
        <v>9,Priest</v>
      </c>
      <c r="B42">
        <v>9</v>
      </c>
      <c r="C42" s="14" t="s">
        <v>142</v>
      </c>
      <c r="D42" s="14"/>
      <c r="E42" s="14">
        <v>2</v>
      </c>
      <c r="F42" s="14"/>
      <c r="G42" s="14"/>
      <c r="H42" s="13"/>
    </row>
    <row r="43" spans="1:8" ht="12.75" customHeight="1">
      <c r="A43" t="str">
        <f t="shared" si="1"/>
        <v>9,Recognize Value</v>
      </c>
      <c r="B43">
        <v>9</v>
      </c>
      <c r="C43" s="14" t="s">
        <v>143</v>
      </c>
      <c r="D43" s="14"/>
      <c r="E43" s="14">
        <v>1</v>
      </c>
      <c r="F43" s="14"/>
      <c r="G43" s="14"/>
      <c r="H43" s="13"/>
    </row>
    <row r="44" spans="1:8" ht="12.75" customHeight="1">
      <c r="A44" t="str">
        <f t="shared" si="1"/>
        <v>9,Silent Movement</v>
      </c>
      <c r="B44">
        <v>9</v>
      </c>
      <c r="C44" s="14" t="s">
        <v>144</v>
      </c>
      <c r="D44" s="14"/>
      <c r="E44" s="14">
        <v>2</v>
      </c>
      <c r="F44" s="14"/>
      <c r="G44" s="14"/>
      <c r="H44" s="13" t="s">
        <v>145</v>
      </c>
    </row>
    <row r="45" spans="1:8" ht="12.75" customHeight="1">
      <c r="A45" t="str">
        <f t="shared" si="1"/>
        <v>9,Warrior</v>
      </c>
      <c r="B45">
        <v>9</v>
      </c>
      <c r="C45" s="14" t="s">
        <v>146</v>
      </c>
      <c r="D45" s="14"/>
      <c r="E45" s="14">
        <v>2</v>
      </c>
      <c r="F45" s="14" t="s">
        <v>104</v>
      </c>
      <c r="G45" s="14" t="s">
        <v>147</v>
      </c>
      <c r="H45" s="13" t="s">
        <v>148</v>
      </c>
    </row>
    <row r="46" spans="1:8" ht="12.75" customHeight="1">
      <c r="A46" t="str">
        <f t="shared" si="1"/>
        <v>9,Veteran</v>
      </c>
      <c r="B46">
        <v>9</v>
      </c>
      <c r="C46" s="14" t="s">
        <v>149</v>
      </c>
      <c r="D46" s="14"/>
      <c r="E46" s="14">
        <v>3</v>
      </c>
      <c r="F46" s="14" t="s">
        <v>150</v>
      </c>
      <c r="G46" s="14" t="s">
        <v>151</v>
      </c>
      <c r="H46" s="13" t="s">
        <v>152</v>
      </c>
    </row>
    <row r="47" spans="1:8" ht="12.75" customHeight="1">
      <c r="A47" t="str">
        <f t="shared" si="1"/>
        <v>9,Mundane 1</v>
      </c>
      <c r="B47">
        <v>9</v>
      </c>
      <c r="C47" s="14" t="s">
        <v>153</v>
      </c>
      <c r="D47" s="14"/>
      <c r="E47" s="14">
        <v>1</v>
      </c>
      <c r="F47" s="235" t="s">
        <v>154</v>
      </c>
      <c r="G47" s="235"/>
      <c r="H47" s="13"/>
    </row>
    <row r="48" spans="1:8" ht="12.75" customHeight="1">
      <c r="A48" t="str">
        <f t="shared" si="1"/>
        <v>9,Mundane 2</v>
      </c>
      <c r="B48">
        <v>9</v>
      </c>
      <c r="C48" s="14" t="s">
        <v>155</v>
      </c>
      <c r="D48" s="14"/>
      <c r="E48" s="14">
        <v>2</v>
      </c>
      <c r="F48" s="235" t="s">
        <v>156</v>
      </c>
      <c r="G48" s="235"/>
      <c r="H48" s="13"/>
    </row>
    <row r="49" spans="1:8" ht="12.75" customHeight="1">
      <c r="A49" t="str">
        <f t="shared" si="1"/>
        <v>9,Mundane 3</v>
      </c>
      <c r="B49">
        <v>9</v>
      </c>
      <c r="C49" s="14" t="s">
        <v>157</v>
      </c>
      <c r="D49" s="14"/>
      <c r="E49" s="14">
        <v>3</v>
      </c>
      <c r="F49" s="14" t="s">
        <v>158</v>
      </c>
      <c r="G49" s="14"/>
      <c r="H49" s="13"/>
    </row>
    <row r="50" spans="1:8" ht="12.75" customHeight="1">
      <c r="A50" t="str">
        <f t="shared" si="1"/>
        <v>10,Acrobatics</v>
      </c>
      <c r="B50">
        <v>10</v>
      </c>
      <c r="C50" s="14" t="s">
        <v>159</v>
      </c>
      <c r="D50" s="14"/>
      <c r="E50" s="14">
        <v>3</v>
      </c>
      <c r="F50" s="14" t="s">
        <v>150</v>
      </c>
      <c r="G50" s="14" t="s">
        <v>160</v>
      </c>
      <c r="H50" s="13"/>
    </row>
    <row r="51" spans="1:8" ht="12.75" customHeight="1">
      <c r="A51" t="str">
        <f t="shared" si="1"/>
        <v>10,Armourer</v>
      </c>
      <c r="B51">
        <v>10</v>
      </c>
      <c r="C51" s="14" t="s">
        <v>161</v>
      </c>
      <c r="D51" s="14"/>
      <c r="E51" s="14">
        <v>2</v>
      </c>
      <c r="F51" s="14"/>
      <c r="G51" s="14"/>
      <c r="H51" s="13"/>
    </row>
    <row r="52" spans="1:8" ht="12.75" customHeight="1">
      <c r="A52" t="str">
        <f t="shared" si="1"/>
        <v>10,Business Sense</v>
      </c>
      <c r="B52">
        <v>10</v>
      </c>
      <c r="C52" s="14" t="s">
        <v>162</v>
      </c>
      <c r="D52" s="14"/>
      <c r="E52" s="14">
        <v>2</v>
      </c>
      <c r="F52" s="14"/>
      <c r="G52" s="14"/>
      <c r="H52" s="13"/>
    </row>
    <row r="53" spans="1:8" ht="12.75" customHeight="1">
      <c r="A53" t="str">
        <f t="shared" si="1"/>
        <v>10,Diplomacy</v>
      </c>
      <c r="B53">
        <v>10</v>
      </c>
      <c r="C53" s="14" t="s">
        <v>163</v>
      </c>
      <c r="D53" s="14"/>
      <c r="E53" s="14">
        <v>1</v>
      </c>
      <c r="F53" s="14"/>
      <c r="G53" s="14"/>
      <c r="H53" s="13"/>
    </row>
    <row r="54" spans="1:8" ht="12.75" customHeight="1">
      <c r="A54" t="str">
        <f t="shared" si="1"/>
        <v>10,Engineer</v>
      </c>
      <c r="B54">
        <v>10</v>
      </c>
      <c r="C54" s="14" t="s">
        <v>164</v>
      </c>
      <c r="D54" s="14"/>
      <c r="E54" s="14">
        <v>2</v>
      </c>
      <c r="F54" s="14"/>
      <c r="G54" s="14"/>
      <c r="H54" s="13"/>
    </row>
    <row r="55" spans="1:8" ht="12.75" customHeight="1">
      <c r="A55" t="str">
        <f t="shared" si="1"/>
        <v>10,Fencing</v>
      </c>
      <c r="B55">
        <v>10</v>
      </c>
      <c r="C55" s="14" t="s">
        <v>165</v>
      </c>
      <c r="D55" s="14"/>
      <c r="E55" s="14">
        <v>3</v>
      </c>
      <c r="F55" s="14" t="s">
        <v>150</v>
      </c>
      <c r="G55" s="14" t="s">
        <v>166</v>
      </c>
      <c r="H55" s="13" t="s">
        <v>167</v>
      </c>
    </row>
    <row r="56" spans="1:8" ht="12.75" customHeight="1">
      <c r="A56" t="str">
        <f t="shared" si="1"/>
        <v>10,Mimic</v>
      </c>
      <c r="B56">
        <v>10</v>
      </c>
      <c r="C56" s="14" t="s">
        <v>168</v>
      </c>
      <c r="D56" s="14"/>
      <c r="E56" s="14">
        <v>2</v>
      </c>
      <c r="F56" s="14"/>
      <c r="G56" s="14"/>
      <c r="H56" s="13"/>
    </row>
    <row r="57" spans="1:8" ht="12.75" customHeight="1">
      <c r="A57" t="str">
        <f t="shared" si="1"/>
        <v>10,Naturalist</v>
      </c>
      <c r="B57">
        <v>10</v>
      </c>
      <c r="C57" s="14" t="s">
        <v>169</v>
      </c>
      <c r="D57" s="14"/>
      <c r="E57" s="14">
        <v>2</v>
      </c>
      <c r="F57" s="14"/>
      <c r="G57" s="14"/>
      <c r="H57" s="13"/>
    </row>
    <row r="58" spans="1:8" ht="12.75" customHeight="1">
      <c r="A58" t="str">
        <f t="shared" si="1"/>
        <v>10,New Followers</v>
      </c>
      <c r="B58">
        <v>10</v>
      </c>
      <c r="C58" s="14" t="s">
        <v>170</v>
      </c>
      <c r="D58" s="14"/>
      <c r="E58" s="14">
        <v>2</v>
      </c>
      <c r="F58" s="14" t="s">
        <v>150</v>
      </c>
      <c r="G58" s="14" t="s">
        <v>171</v>
      </c>
      <c r="H58" s="13"/>
    </row>
    <row r="59" spans="1:8" ht="12.75" customHeight="1">
      <c r="A59" t="str">
        <f t="shared" si="1"/>
        <v>10,Remove Traps</v>
      </c>
      <c r="B59">
        <v>10</v>
      </c>
      <c r="C59" s="14" t="s">
        <v>172</v>
      </c>
      <c r="D59" s="14"/>
      <c r="E59" s="14">
        <v>1</v>
      </c>
      <c r="F59" s="14" t="s">
        <v>150</v>
      </c>
      <c r="G59" s="14" t="s">
        <v>173</v>
      </c>
      <c r="H59" s="13"/>
    </row>
    <row r="60" spans="1:8" ht="12.75" customHeight="1">
      <c r="A60" t="str">
        <f t="shared" si="1"/>
        <v>10,Thief</v>
      </c>
      <c r="B60">
        <v>10</v>
      </c>
      <c r="C60" s="14" t="s">
        <v>174</v>
      </c>
      <c r="D60" s="14"/>
      <c r="E60" s="14">
        <v>2</v>
      </c>
      <c r="F60" s="14"/>
      <c r="G60" s="14"/>
      <c r="H60" s="13" t="s">
        <v>175</v>
      </c>
    </row>
    <row r="61" spans="1:8" ht="12.75" customHeight="1">
      <c r="A61" t="str">
        <f t="shared" si="1"/>
        <v>10,Tracking</v>
      </c>
      <c r="B61">
        <v>10</v>
      </c>
      <c r="C61" s="14" t="s">
        <v>176</v>
      </c>
      <c r="D61" s="14"/>
      <c r="E61" s="14">
        <v>1</v>
      </c>
      <c r="F61" s="14"/>
      <c r="G61" s="14"/>
      <c r="H61" s="13"/>
    </row>
    <row r="62" spans="1:8" ht="12.75" customHeight="1">
      <c r="A62" t="str">
        <f t="shared" si="1"/>
        <v>10,Unarmed Combat I</v>
      </c>
      <c r="B62">
        <v>10</v>
      </c>
      <c r="C62" s="14" t="s">
        <v>177</v>
      </c>
      <c r="D62" s="14"/>
      <c r="E62" s="14">
        <v>2</v>
      </c>
      <c r="F62" s="14" t="s">
        <v>178</v>
      </c>
      <c r="G62" s="14" t="s">
        <v>179</v>
      </c>
      <c r="H62" s="13"/>
    </row>
    <row r="63" spans="1:8" ht="12.75" customHeight="1">
      <c r="A63" t="str">
        <f t="shared" si="1"/>
        <v>11,Architect/Builder</v>
      </c>
      <c r="B63">
        <v>11</v>
      </c>
      <c r="C63" s="14" t="s">
        <v>180</v>
      </c>
      <c r="D63" s="14"/>
      <c r="E63" s="14">
        <v>2</v>
      </c>
      <c r="F63" s="14"/>
      <c r="G63" s="14"/>
      <c r="H63" s="13"/>
    </row>
    <row r="64" spans="1:8" ht="12.75" customHeight="1">
      <c r="A64" t="str">
        <f t="shared" si="1"/>
        <v>11,Courtly Graces</v>
      </c>
      <c r="B64">
        <v>11</v>
      </c>
      <c r="C64" s="14" t="s">
        <v>181</v>
      </c>
      <c r="D64" s="14"/>
      <c r="E64" s="14">
        <v>1</v>
      </c>
      <c r="F64" s="14"/>
      <c r="G64" s="14"/>
      <c r="H64" s="13"/>
    </row>
    <row r="65" spans="1:8" ht="12.75" customHeight="1">
      <c r="A65" t="str">
        <f t="shared" si="1"/>
        <v>11,Detection of Lies</v>
      </c>
      <c r="B65">
        <v>11</v>
      </c>
      <c r="C65" s="14" t="s">
        <v>182</v>
      </c>
      <c r="D65" s="14"/>
      <c r="E65" s="14">
        <v>2</v>
      </c>
      <c r="F65" s="14"/>
      <c r="G65" s="14"/>
      <c r="H65" s="13"/>
    </row>
    <row r="66" spans="1:8" ht="12.75" customHeight="1">
      <c r="A66" t="str">
        <f t="shared" ref="A66:A97" si="2">CONCATENATE(B66,",",C66)</f>
        <v>11,Expert Horseman</v>
      </c>
      <c r="B66">
        <v>11</v>
      </c>
      <c r="C66" s="14" t="s">
        <v>183</v>
      </c>
      <c r="D66" s="14"/>
      <c r="E66" s="14">
        <v>2</v>
      </c>
      <c r="F66" s="14" t="s">
        <v>104</v>
      </c>
      <c r="G66" s="14" t="s">
        <v>184</v>
      </c>
      <c r="H66" s="13"/>
    </row>
    <row r="67" spans="1:8" ht="12.75" customHeight="1">
      <c r="A67" t="str">
        <f t="shared" si="2"/>
        <v>11,Goldsmith</v>
      </c>
      <c r="B67">
        <v>11</v>
      </c>
      <c r="C67" s="14" t="s">
        <v>185</v>
      </c>
      <c r="D67" s="14"/>
      <c r="E67" s="14">
        <v>2</v>
      </c>
      <c r="F67" s="14" t="s">
        <v>104</v>
      </c>
      <c r="G67" s="14" t="s">
        <v>186</v>
      </c>
      <c r="H67" s="13"/>
    </row>
    <row r="68" spans="1:8" ht="12.75" customHeight="1">
      <c r="A68" t="str">
        <f t="shared" si="2"/>
        <v>11,Mechanician</v>
      </c>
      <c r="B68">
        <v>11</v>
      </c>
      <c r="C68" s="14" t="s">
        <v>187</v>
      </c>
      <c r="D68" s="14"/>
      <c r="E68" s="14">
        <v>2</v>
      </c>
      <c r="F68" s="14" t="s">
        <v>188</v>
      </c>
      <c r="G68" s="14"/>
      <c r="H68" s="13"/>
    </row>
    <row r="69" spans="1:8" ht="12.75" customHeight="1">
      <c r="A69" t="str">
        <f t="shared" si="2"/>
        <v>11,Monster Followers</v>
      </c>
      <c r="B69">
        <v>11</v>
      </c>
      <c r="C69" s="14" t="s">
        <v>189</v>
      </c>
      <c r="D69" s="14"/>
      <c r="E69" s="14">
        <v>2</v>
      </c>
      <c r="F69" s="14"/>
      <c r="G69" s="14"/>
      <c r="H69" s="13"/>
    </row>
    <row r="70" spans="1:8" ht="12.75" customHeight="1">
      <c r="A70" t="str">
        <f t="shared" si="2"/>
        <v>11,Physicker</v>
      </c>
      <c r="B70">
        <v>11</v>
      </c>
      <c r="C70" s="14" t="s">
        <v>190</v>
      </c>
      <c r="D70" s="14"/>
      <c r="E70" s="14">
        <v>2</v>
      </c>
      <c r="F70" s="14"/>
      <c r="G70" s="14"/>
      <c r="H70" s="13"/>
    </row>
    <row r="71" spans="1:8" ht="12.75" customHeight="1">
      <c r="A71" t="str">
        <f t="shared" si="2"/>
        <v>11,Shipbuilder</v>
      </c>
      <c r="B71">
        <v>11</v>
      </c>
      <c r="C71" s="14" t="s">
        <v>191</v>
      </c>
      <c r="D71" s="14"/>
      <c r="E71" s="14">
        <v>2</v>
      </c>
      <c r="F71" s="14" t="s">
        <v>104</v>
      </c>
      <c r="G71" s="14" t="s">
        <v>192</v>
      </c>
      <c r="H71" s="13"/>
    </row>
    <row r="72" spans="1:8" ht="12.75" customHeight="1">
      <c r="A72" t="str">
        <f t="shared" si="2"/>
        <v>11,Tactics</v>
      </c>
      <c r="B72">
        <v>11</v>
      </c>
      <c r="C72" s="14" t="s">
        <v>193</v>
      </c>
      <c r="D72" s="14"/>
      <c r="E72" s="14">
        <v>1</v>
      </c>
      <c r="F72" s="14"/>
      <c r="G72" s="14"/>
      <c r="H72" s="13"/>
    </row>
    <row r="73" spans="1:8" ht="12.75" customHeight="1">
      <c r="A73" t="str">
        <f t="shared" si="2"/>
        <v>11,Two Weapons</v>
      </c>
      <c r="B73">
        <v>11</v>
      </c>
      <c r="C73" s="14" t="s">
        <v>194</v>
      </c>
      <c r="D73" s="14"/>
      <c r="E73" s="14">
        <v>3</v>
      </c>
      <c r="F73" s="14" t="s">
        <v>150</v>
      </c>
      <c r="G73" s="14" t="s">
        <v>195</v>
      </c>
      <c r="H73" s="13"/>
    </row>
    <row r="74" spans="1:8" ht="12.75" customHeight="1">
      <c r="A74" t="str">
        <f t="shared" si="2"/>
        <v>11,Woodsman</v>
      </c>
      <c r="B74">
        <v>11</v>
      </c>
      <c r="C74" s="14" t="s">
        <v>196</v>
      </c>
      <c r="D74" s="14"/>
      <c r="E74" s="14">
        <v>1</v>
      </c>
      <c r="F74" s="14" t="s">
        <v>104</v>
      </c>
      <c r="G74" s="14" t="s">
        <v>197</v>
      </c>
      <c r="H74" s="13"/>
    </row>
    <row r="75" spans="1:8" ht="12.75" customHeight="1">
      <c r="A75" t="str">
        <f t="shared" si="2"/>
        <v>11,Vet</v>
      </c>
      <c r="B75">
        <v>11</v>
      </c>
      <c r="C75" s="14" t="s">
        <v>198</v>
      </c>
      <c r="D75" s="14"/>
      <c r="E75" s="14">
        <v>2</v>
      </c>
      <c r="F75" s="14" t="s">
        <v>104</v>
      </c>
      <c r="G75" s="14" t="s">
        <v>199</v>
      </c>
      <c r="H75" s="13"/>
    </row>
    <row r="76" spans="1:8" ht="12.75" customHeight="1">
      <c r="A76" t="str">
        <f t="shared" si="2"/>
        <v>12,Assess Value</v>
      </c>
      <c r="B76">
        <v>12</v>
      </c>
      <c r="C76" s="14" t="s">
        <v>200</v>
      </c>
      <c r="D76" s="14"/>
      <c r="E76" s="14">
        <v>1</v>
      </c>
      <c r="F76" s="14" t="s">
        <v>104</v>
      </c>
      <c r="G76" s="14" t="s">
        <v>186</v>
      </c>
      <c r="H76" s="13"/>
    </row>
    <row r="77" spans="1:8" ht="12.75" customHeight="1">
      <c r="A77" t="str">
        <f t="shared" si="2"/>
        <v>12,Captain</v>
      </c>
      <c r="B77">
        <v>12</v>
      </c>
      <c r="C77" s="14" t="s">
        <v>201</v>
      </c>
      <c r="D77" s="14"/>
      <c r="E77" s="14">
        <v>2</v>
      </c>
      <c r="F77" s="14" t="s">
        <v>104</v>
      </c>
      <c r="G77" s="14" t="s">
        <v>192</v>
      </c>
      <c r="H77" s="13"/>
    </row>
    <row r="78" spans="1:8" ht="12.75" customHeight="1">
      <c r="A78" t="str">
        <f t="shared" si="2"/>
        <v>12,Expert Naturalist</v>
      </c>
      <c r="B78">
        <v>12</v>
      </c>
      <c r="C78" s="14" t="s">
        <v>202</v>
      </c>
      <c r="D78" s="14"/>
      <c r="E78" s="14">
        <v>3</v>
      </c>
      <c r="F78" s="14" t="s">
        <v>104</v>
      </c>
      <c r="G78" s="14" t="s">
        <v>197</v>
      </c>
      <c r="H78" s="13"/>
    </row>
    <row r="79" spans="1:8" ht="12.75" customHeight="1">
      <c r="A79" t="str">
        <f t="shared" si="2"/>
        <v>12,Master Armourer</v>
      </c>
      <c r="B79">
        <v>12</v>
      </c>
      <c r="C79" s="14" t="s">
        <v>203</v>
      </c>
      <c r="D79" s="14"/>
      <c r="E79" s="14">
        <v>2</v>
      </c>
      <c r="F79" s="14" t="s">
        <v>104</v>
      </c>
      <c r="G79" s="14" t="s">
        <v>204</v>
      </c>
      <c r="H79" s="13"/>
    </row>
    <row r="80" spans="1:8" ht="12.75" customHeight="1">
      <c r="A80" t="str">
        <f t="shared" si="2"/>
        <v>12,Master Thief</v>
      </c>
      <c r="B80">
        <v>12</v>
      </c>
      <c r="C80" s="14" t="s">
        <v>205</v>
      </c>
      <c r="D80" s="14"/>
      <c r="E80" s="14">
        <v>2</v>
      </c>
      <c r="F80" s="14" t="s">
        <v>150</v>
      </c>
      <c r="G80" s="14" t="s">
        <v>206</v>
      </c>
      <c r="H80" s="13"/>
    </row>
    <row r="81" spans="1:8" ht="12.75" customHeight="1">
      <c r="A81" t="str">
        <f t="shared" si="2"/>
        <v>12,Monster Followers II</v>
      </c>
      <c r="B81">
        <v>12</v>
      </c>
      <c r="C81" s="14" t="s">
        <v>207</v>
      </c>
      <c r="D81" s="14"/>
      <c r="E81" s="14">
        <v>2</v>
      </c>
      <c r="F81" s="14" t="s">
        <v>104</v>
      </c>
      <c r="G81" s="14" t="s">
        <v>208</v>
      </c>
      <c r="H81" s="13"/>
    </row>
    <row r="82" spans="1:8" ht="12.75" customHeight="1">
      <c r="A82" t="str">
        <f t="shared" si="2"/>
        <v>12,Spying</v>
      </c>
      <c r="B82">
        <v>12</v>
      </c>
      <c r="C82" s="14" t="s">
        <v>209</v>
      </c>
      <c r="D82" s="14"/>
      <c r="E82" s="14">
        <v>3</v>
      </c>
      <c r="F82" s="14" t="s">
        <v>104</v>
      </c>
      <c r="G82" s="14" t="s">
        <v>210</v>
      </c>
      <c r="H82" s="13"/>
    </row>
    <row r="83" spans="1:8" ht="12.75" customHeight="1">
      <c r="A83" t="str">
        <f t="shared" si="2"/>
        <v>12,Unarmed Combat II</v>
      </c>
      <c r="B83">
        <v>12</v>
      </c>
      <c r="C83" s="14" t="s">
        <v>211</v>
      </c>
      <c r="D83" s="14"/>
      <c r="E83" s="14">
        <v>2</v>
      </c>
      <c r="F83" s="14" t="s">
        <v>150</v>
      </c>
      <c r="G83" s="14" t="s">
        <v>212</v>
      </c>
      <c r="H83" s="13"/>
    </row>
    <row r="84" spans="1:8" ht="12.75" customHeight="1">
      <c r="A84" t="str">
        <f t="shared" si="2"/>
        <v>12,Ventriloquist</v>
      </c>
      <c r="B84">
        <v>12</v>
      </c>
      <c r="C84" s="14" t="s">
        <v>213</v>
      </c>
      <c r="D84" s="14"/>
      <c r="E84" s="14">
        <v>2</v>
      </c>
      <c r="F84" s="14"/>
      <c r="G84" s="14"/>
      <c r="H84" s="13"/>
    </row>
    <row r="85" spans="1:8" ht="12.75" customHeight="1">
      <c r="A85" t="str">
        <f t="shared" si="2"/>
        <v>13,Chemist</v>
      </c>
      <c r="B85">
        <v>13</v>
      </c>
      <c r="C85" s="14" t="s">
        <v>214</v>
      </c>
      <c r="D85" s="14"/>
      <c r="E85" s="14">
        <v>3</v>
      </c>
      <c r="F85" s="14"/>
      <c r="G85" s="14"/>
      <c r="H85" s="13"/>
    </row>
    <row r="86" spans="1:8" ht="12.75" customHeight="1">
      <c r="A86" t="str">
        <f t="shared" si="2"/>
        <v>13,Master Mechanician</v>
      </c>
      <c r="B86">
        <v>13</v>
      </c>
      <c r="C86" s="14" t="s">
        <v>215</v>
      </c>
      <c r="D86" s="14"/>
      <c r="E86" s="14">
        <v>2</v>
      </c>
      <c r="F86" s="14" t="s">
        <v>104</v>
      </c>
      <c r="G86" s="14" t="s">
        <v>216</v>
      </c>
      <c r="H86" s="13"/>
    </row>
    <row r="87" spans="1:8" ht="12.75" customHeight="1">
      <c r="A87" t="str">
        <f t="shared" si="2"/>
        <v>13,Mathematician</v>
      </c>
      <c r="B87">
        <v>13</v>
      </c>
      <c r="C87" s="14" t="s">
        <v>217</v>
      </c>
      <c r="D87" s="14"/>
      <c r="E87" s="14">
        <v>2</v>
      </c>
      <c r="F87" s="14" t="s">
        <v>104</v>
      </c>
      <c r="G87" s="14" t="s">
        <v>218</v>
      </c>
      <c r="H87" s="13"/>
    </row>
    <row r="88" spans="1:8" ht="12.75" customHeight="1">
      <c r="A88" t="str">
        <f t="shared" si="2"/>
        <v>13,Scholar</v>
      </c>
      <c r="B88">
        <v>13</v>
      </c>
      <c r="C88" s="14" t="s">
        <v>219</v>
      </c>
      <c r="D88" s="14"/>
      <c r="E88" s="14">
        <v>3</v>
      </c>
      <c r="F88" s="14" t="s">
        <v>104</v>
      </c>
      <c r="G88" s="14" t="s">
        <v>218</v>
      </c>
      <c r="H88" s="13"/>
    </row>
    <row r="89" spans="1:8" ht="12.75" customHeight="1">
      <c r="A89" t="str">
        <f t="shared" si="2"/>
        <v>13,Strategist</v>
      </c>
      <c r="B89">
        <v>13</v>
      </c>
      <c r="C89" s="14" t="s">
        <v>220</v>
      </c>
      <c r="D89" s="14"/>
      <c r="E89" s="14">
        <v>2</v>
      </c>
      <c r="F89" s="14" t="s">
        <v>104</v>
      </c>
      <c r="G89" s="14" t="s">
        <v>221</v>
      </c>
      <c r="H89" s="13"/>
    </row>
    <row r="90" spans="1:8" ht="12.75" customHeight="1">
      <c r="A90" t="str">
        <f t="shared" si="2"/>
        <v>14,Alchemist</v>
      </c>
      <c r="B90">
        <v>14</v>
      </c>
      <c r="C90" s="14" t="s">
        <v>222</v>
      </c>
      <c r="D90" s="14"/>
      <c r="E90" s="14">
        <v>3</v>
      </c>
      <c r="F90" s="14"/>
      <c r="G90" s="14"/>
      <c r="H90" s="13"/>
    </row>
    <row r="91" spans="1:8" ht="12.75" customHeight="1">
      <c r="A91" t="str">
        <f t="shared" si="2"/>
        <v>14,Disguise</v>
      </c>
      <c r="B91">
        <v>14</v>
      </c>
      <c r="C91" s="14" t="s">
        <v>223</v>
      </c>
      <c r="D91" s="14"/>
      <c r="E91" s="14">
        <v>2</v>
      </c>
      <c r="F91" s="14"/>
      <c r="G91" s="14"/>
      <c r="H91" s="13"/>
    </row>
    <row r="92" spans="1:8" ht="12.75" customHeight="1">
      <c r="A92" t="str">
        <f t="shared" si="2"/>
        <v>14,Master Bard</v>
      </c>
      <c r="B92">
        <v>14</v>
      </c>
      <c r="C92" s="14" t="s">
        <v>224</v>
      </c>
      <c r="D92" s="14"/>
      <c r="E92" s="14">
        <v>2</v>
      </c>
      <c r="F92" s="14" t="s">
        <v>104</v>
      </c>
      <c r="G92" s="14" t="s">
        <v>225</v>
      </c>
      <c r="H92" s="13"/>
    </row>
    <row r="93" spans="1:8" ht="12.75" customHeight="1">
      <c r="A93" t="str">
        <f t="shared" si="2"/>
        <v>14,Master Physicker</v>
      </c>
      <c r="B93">
        <v>14</v>
      </c>
      <c r="C93" s="14" t="s">
        <v>226</v>
      </c>
      <c r="D93" s="14"/>
      <c r="E93" s="14">
        <v>2</v>
      </c>
      <c r="F93" s="14" t="s">
        <v>104</v>
      </c>
      <c r="G93" s="14" t="s">
        <v>227</v>
      </c>
      <c r="H93" s="13"/>
    </row>
    <row r="94" spans="1:8" ht="12.75" customHeight="1">
      <c r="A94" t="str">
        <f t="shared" si="2"/>
        <v>14,Theologian</v>
      </c>
      <c r="B94">
        <v>14</v>
      </c>
      <c r="C94" s="14" t="s">
        <v>228</v>
      </c>
      <c r="D94" s="14"/>
      <c r="E94" s="14">
        <v>2</v>
      </c>
      <c r="F94" s="14" t="s">
        <v>104</v>
      </c>
      <c r="G94" s="14" t="s">
        <v>229</v>
      </c>
      <c r="H94" s="13"/>
    </row>
    <row r="95" spans="1:8" ht="12.75" customHeight="1">
      <c r="A95" t="str">
        <f t="shared" si="2"/>
        <v>14,Unarmed Combat III</v>
      </c>
      <c r="B95">
        <v>14</v>
      </c>
      <c r="C95" s="14" t="s">
        <v>230</v>
      </c>
      <c r="D95" s="14"/>
      <c r="E95" s="14">
        <v>2</v>
      </c>
      <c r="F95" s="14" t="s">
        <v>150</v>
      </c>
      <c r="G95" s="14" t="s">
        <v>231</v>
      </c>
      <c r="H95" s="13"/>
    </row>
    <row r="96" spans="1:8" ht="12.75" customHeight="1">
      <c r="A96" t="str">
        <f t="shared" si="2"/>
        <v>14,Unarmed Combat IV</v>
      </c>
      <c r="B96">
        <v>14</v>
      </c>
      <c r="C96" s="14" t="s">
        <v>232</v>
      </c>
      <c r="D96" s="14"/>
      <c r="E96" s="14">
        <v>2</v>
      </c>
      <c r="F96" s="14" t="s">
        <v>150</v>
      </c>
      <c r="G96" s="14" t="s">
        <v>233</v>
      </c>
      <c r="H96" s="13"/>
    </row>
    <row r="97" spans="1:8" ht="12.75" customHeight="1">
      <c r="A97" t="str">
        <f t="shared" si="2"/>
        <v>14,Unarmed Combat V</v>
      </c>
      <c r="B97">
        <v>14</v>
      </c>
      <c r="C97" s="14" t="s">
        <v>234</v>
      </c>
      <c r="D97" s="14"/>
      <c r="E97" s="14">
        <v>3</v>
      </c>
      <c r="F97" s="14" t="s">
        <v>150</v>
      </c>
      <c r="G97" s="14" t="s">
        <v>235</v>
      </c>
      <c r="H97" s="13"/>
    </row>
    <row r="98" spans="1:8" ht="12.75" customHeight="1">
      <c r="H98" s="13"/>
    </row>
    <row r="99" spans="1:8" ht="12.75" customHeight="1">
      <c r="H99" s="13"/>
    </row>
    <row r="100" spans="1:8" ht="12.75" customHeight="1">
      <c r="C100" s="14"/>
      <c r="D100" s="14"/>
      <c r="E100" s="14"/>
      <c r="F100" s="14"/>
      <c r="G100" s="14"/>
      <c r="H100" s="13"/>
    </row>
    <row r="101" spans="1:8" ht="12.75" customHeight="1">
      <c r="C101" s="14"/>
      <c r="D101" s="14"/>
      <c r="E101" s="14"/>
      <c r="F101" s="14"/>
      <c r="G101" s="14"/>
      <c r="H101" s="13"/>
    </row>
  </sheetData>
  <mergeCells count="2">
    <mergeCell ref="F47:G47"/>
    <mergeCell ref="F48:G48"/>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H1"/>
  <sheetViews>
    <sheetView workbookViewId="0"/>
  </sheetViews>
  <sheetFormatPr defaultColWidth="17.140625" defaultRowHeight="12.75" customHeight="1"/>
  <sheetData>
    <row r="1" spans="2:8" ht="12.75" customHeight="1">
      <c r="B1" s="236" t="s">
        <v>236</v>
      </c>
      <c r="C1" s="236"/>
      <c r="D1" s="236"/>
      <c r="E1" s="236"/>
      <c r="F1" s="236"/>
      <c r="G1" s="236"/>
      <c r="H1" s="236"/>
    </row>
  </sheetData>
  <mergeCells count="1">
    <mergeCell ref="B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1:K78"/>
  <sheetViews>
    <sheetView workbookViewId="0"/>
  </sheetViews>
  <sheetFormatPr defaultColWidth="17.140625" defaultRowHeight="12.75" customHeight="1"/>
  <cols>
    <col min="1" max="1" width="3.85546875" customWidth="1"/>
    <col min="2" max="2" width="20.7109375" customWidth="1"/>
    <col min="3" max="3" width="8.5703125" customWidth="1"/>
    <col min="4" max="4" width="7.140625" customWidth="1"/>
    <col min="5" max="5" width="5" customWidth="1"/>
    <col min="6" max="6" width="7.140625" customWidth="1"/>
    <col min="7" max="7" width="8.5703125" customWidth="1"/>
    <col min="8" max="8" width="7.28515625" customWidth="1"/>
    <col min="9" max="9" width="8.140625" customWidth="1"/>
    <col min="10" max="10" width="6" customWidth="1"/>
  </cols>
  <sheetData>
    <row r="1" spans="2:11" ht="12.75" customHeight="1">
      <c r="B1" s="20" t="s">
        <v>13</v>
      </c>
      <c r="C1" s="20" t="s">
        <v>237</v>
      </c>
      <c r="D1" s="20" t="s">
        <v>238</v>
      </c>
      <c r="E1" s="20" t="s">
        <v>18</v>
      </c>
      <c r="F1" s="20" t="s">
        <v>239</v>
      </c>
      <c r="G1" s="7" t="s">
        <v>240</v>
      </c>
      <c r="J1" t="s">
        <v>241</v>
      </c>
      <c r="K1" t="s">
        <v>14</v>
      </c>
    </row>
    <row r="2" spans="2:11" ht="12.75" customHeight="1">
      <c r="B2" s="20" t="s">
        <v>30</v>
      </c>
      <c r="C2" s="20"/>
      <c r="D2" s="20">
        <v>0</v>
      </c>
      <c r="E2" s="20">
        <v>0</v>
      </c>
      <c r="F2" s="20">
        <v>0</v>
      </c>
      <c r="G2" s="7"/>
      <c r="J2">
        <v>7</v>
      </c>
    </row>
    <row r="3" spans="2:11" ht="12.75" customHeight="1">
      <c r="B3" s="20" t="s">
        <v>70</v>
      </c>
      <c r="C3" s="20" t="s">
        <v>242</v>
      </c>
      <c r="D3" s="20">
        <v>0.1</v>
      </c>
      <c r="E3" s="15">
        <v>10</v>
      </c>
      <c r="F3" s="17">
        <v>9</v>
      </c>
      <c r="G3" s="7"/>
      <c r="J3">
        <v>8</v>
      </c>
      <c r="K3" t="s">
        <v>243</v>
      </c>
    </row>
    <row r="4" spans="2:11" ht="12.75" customHeight="1">
      <c r="B4" s="20" t="s">
        <v>244</v>
      </c>
      <c r="C4" s="20" t="s">
        <v>245</v>
      </c>
      <c r="D4" s="20">
        <v>0.5</v>
      </c>
      <c r="E4" s="15">
        <v>40</v>
      </c>
      <c r="F4" s="17">
        <v>10</v>
      </c>
      <c r="G4" s="7"/>
      <c r="J4">
        <v>9</v>
      </c>
      <c r="K4" t="s">
        <v>246</v>
      </c>
    </row>
    <row r="5" spans="2:11" ht="12.75" customHeight="1">
      <c r="B5" s="20" t="s">
        <v>247</v>
      </c>
      <c r="C5" s="20" t="s">
        <v>248</v>
      </c>
      <c r="D5" s="20">
        <v>1.5</v>
      </c>
      <c r="E5" s="15">
        <v>50</v>
      </c>
      <c r="F5" s="17">
        <v>11</v>
      </c>
      <c r="G5" s="7"/>
      <c r="J5">
        <v>10</v>
      </c>
      <c r="K5" t="s">
        <v>246</v>
      </c>
    </row>
    <row r="6" spans="2:11" ht="12.75" customHeight="1">
      <c r="B6" s="20" t="s">
        <v>249</v>
      </c>
      <c r="C6" s="20" t="s">
        <v>250</v>
      </c>
      <c r="D6" s="20">
        <v>2</v>
      </c>
      <c r="E6" s="15">
        <v>60</v>
      </c>
      <c r="F6" s="17">
        <v>11</v>
      </c>
      <c r="G6" s="7"/>
      <c r="J6">
        <v>11</v>
      </c>
      <c r="K6" t="s">
        <v>251</v>
      </c>
    </row>
    <row r="7" spans="2:11" ht="12.75" customHeight="1">
      <c r="B7" s="20" t="s">
        <v>76</v>
      </c>
      <c r="C7" s="20" t="s">
        <v>252</v>
      </c>
      <c r="D7" s="20">
        <v>2.5</v>
      </c>
      <c r="E7" s="15">
        <v>80</v>
      </c>
      <c r="F7" s="17">
        <v>12</v>
      </c>
      <c r="G7" s="7"/>
      <c r="J7">
        <v>12</v>
      </c>
      <c r="K7" t="s">
        <v>251</v>
      </c>
    </row>
    <row r="8" spans="2:11" ht="12.75" customHeight="1">
      <c r="B8" s="20" t="s">
        <v>253</v>
      </c>
      <c r="C8" s="20" t="s">
        <v>254</v>
      </c>
      <c r="D8" s="20">
        <v>5</v>
      </c>
      <c r="E8" s="15">
        <v>100</v>
      </c>
      <c r="F8" s="17">
        <v>13</v>
      </c>
      <c r="G8" s="7"/>
      <c r="J8">
        <v>13</v>
      </c>
      <c r="K8" t="s">
        <v>242</v>
      </c>
    </row>
    <row r="9" spans="2:11" ht="12.75" customHeight="1">
      <c r="B9" s="20" t="s">
        <v>255</v>
      </c>
      <c r="C9" s="20" t="s">
        <v>256</v>
      </c>
      <c r="D9" s="20">
        <v>7</v>
      </c>
      <c r="E9" s="15">
        <v>100</v>
      </c>
      <c r="F9" s="17">
        <v>13</v>
      </c>
      <c r="G9" s="7"/>
      <c r="J9">
        <v>14</v>
      </c>
      <c r="K9" t="s">
        <v>242</v>
      </c>
    </row>
    <row r="10" spans="2:11" ht="12.75" customHeight="1">
      <c r="B10" s="20" t="s">
        <v>69</v>
      </c>
      <c r="C10" s="20" t="s">
        <v>257</v>
      </c>
      <c r="D10" s="20">
        <v>5</v>
      </c>
      <c r="E10" s="15">
        <v>120</v>
      </c>
      <c r="F10" s="17">
        <v>14</v>
      </c>
      <c r="G10" s="7"/>
      <c r="J10">
        <v>15</v>
      </c>
      <c r="K10" t="s">
        <v>245</v>
      </c>
    </row>
    <row r="11" spans="2:11" ht="12.75" customHeight="1">
      <c r="B11" s="20" t="s">
        <v>258</v>
      </c>
      <c r="C11" s="20" t="s">
        <v>259</v>
      </c>
      <c r="D11" s="20">
        <v>7</v>
      </c>
      <c r="E11" s="15">
        <v>180</v>
      </c>
      <c r="F11" s="17">
        <v>16</v>
      </c>
      <c r="G11" s="7"/>
      <c r="J11">
        <v>16</v>
      </c>
      <c r="K11" t="s">
        <v>245</v>
      </c>
    </row>
    <row r="12" spans="2:11" ht="12.75" customHeight="1">
      <c r="B12" s="20" t="s">
        <v>260</v>
      </c>
      <c r="C12" s="20" t="s">
        <v>261</v>
      </c>
      <c r="D12" s="20">
        <v>1.5</v>
      </c>
      <c r="E12" s="15">
        <v>10</v>
      </c>
      <c r="F12" s="17">
        <v>7</v>
      </c>
      <c r="G12" s="7"/>
      <c r="J12">
        <v>17</v>
      </c>
      <c r="K12" t="s">
        <v>262</v>
      </c>
    </row>
    <row r="13" spans="2:11" ht="12.75" customHeight="1">
      <c r="B13" s="20" t="s">
        <v>263</v>
      </c>
      <c r="C13" s="20" t="s">
        <v>245</v>
      </c>
      <c r="D13" s="20">
        <v>1</v>
      </c>
      <c r="E13" s="20">
        <v>15</v>
      </c>
      <c r="F13" s="20">
        <v>9</v>
      </c>
      <c r="G13" s="7" t="s">
        <v>264</v>
      </c>
    </row>
    <row r="14" spans="2:11" ht="12.75" customHeight="1">
      <c r="B14" s="20" t="s">
        <v>265</v>
      </c>
      <c r="C14" s="20" t="s">
        <v>245</v>
      </c>
      <c r="D14" s="20">
        <v>1</v>
      </c>
      <c r="E14" s="20">
        <v>15</v>
      </c>
      <c r="F14" s="20">
        <v>9</v>
      </c>
      <c r="G14" s="7"/>
      <c r="J14">
        <v>18</v>
      </c>
      <c r="K14" t="s">
        <v>262</v>
      </c>
    </row>
    <row r="15" spans="2:11" ht="12.75" customHeight="1">
      <c r="B15" s="20" t="s">
        <v>266</v>
      </c>
      <c r="C15" s="20" t="s">
        <v>262</v>
      </c>
      <c r="D15" s="20">
        <v>2</v>
      </c>
      <c r="E15" s="20">
        <v>25</v>
      </c>
      <c r="F15" s="20">
        <v>10</v>
      </c>
      <c r="G15" s="7"/>
      <c r="J15">
        <v>19</v>
      </c>
      <c r="K15" t="s">
        <v>262</v>
      </c>
    </row>
    <row r="16" spans="2:11" ht="12.75" customHeight="1">
      <c r="B16" s="20" t="s">
        <v>267</v>
      </c>
      <c r="C16" s="20" t="s">
        <v>250</v>
      </c>
      <c r="D16" s="20">
        <v>3</v>
      </c>
      <c r="E16" s="20">
        <v>40</v>
      </c>
      <c r="F16" s="20">
        <v>11</v>
      </c>
      <c r="G16" s="7"/>
      <c r="J16">
        <v>20</v>
      </c>
      <c r="K16" t="s">
        <v>262</v>
      </c>
    </row>
    <row r="17" spans="2:11" ht="12.75" customHeight="1">
      <c r="B17" s="20" t="s">
        <v>268</v>
      </c>
      <c r="C17" s="20" t="s">
        <v>269</v>
      </c>
      <c r="D17" s="20">
        <v>2.5</v>
      </c>
      <c r="E17" s="20">
        <v>30</v>
      </c>
      <c r="F17" s="20">
        <v>11</v>
      </c>
      <c r="G17" s="7" t="s">
        <v>264</v>
      </c>
    </row>
    <row r="18" spans="2:11" ht="12.75" customHeight="1">
      <c r="B18" s="20" t="s">
        <v>270</v>
      </c>
      <c r="C18" s="20" t="s">
        <v>269</v>
      </c>
      <c r="D18" s="20">
        <v>2.5</v>
      </c>
      <c r="E18" s="20">
        <v>30</v>
      </c>
      <c r="F18" s="20">
        <v>11</v>
      </c>
      <c r="G18" s="7"/>
      <c r="J18">
        <v>21</v>
      </c>
      <c r="K18" t="s">
        <v>269</v>
      </c>
    </row>
    <row r="19" spans="2:11" ht="12.75" customHeight="1">
      <c r="B19" s="20" t="s">
        <v>271</v>
      </c>
      <c r="C19" s="20" t="s">
        <v>252</v>
      </c>
      <c r="D19" s="20">
        <v>4</v>
      </c>
      <c r="E19" s="20">
        <v>60</v>
      </c>
      <c r="F19" s="20">
        <v>12</v>
      </c>
      <c r="G19" s="7"/>
      <c r="J19">
        <v>22</v>
      </c>
      <c r="K19" t="s">
        <v>269</v>
      </c>
    </row>
    <row r="20" spans="2:11" ht="12.75" customHeight="1">
      <c r="B20" s="20" t="s">
        <v>74</v>
      </c>
      <c r="C20" s="20" t="s">
        <v>254</v>
      </c>
      <c r="D20" s="20">
        <v>6</v>
      </c>
      <c r="E20" s="20">
        <v>100</v>
      </c>
      <c r="F20" s="20">
        <v>13</v>
      </c>
      <c r="G20" s="7"/>
      <c r="J20">
        <v>23</v>
      </c>
      <c r="K20" t="s">
        <v>269</v>
      </c>
    </row>
    <row r="21" spans="2:11" ht="12.75" customHeight="1">
      <c r="B21" s="20" t="s">
        <v>272</v>
      </c>
      <c r="C21" s="20" t="s">
        <v>273</v>
      </c>
      <c r="D21" s="20">
        <v>8</v>
      </c>
      <c r="E21" s="20">
        <v>110</v>
      </c>
      <c r="F21" s="20">
        <v>14</v>
      </c>
      <c r="G21" s="7"/>
      <c r="J21">
        <v>24</v>
      </c>
      <c r="K21" t="s">
        <v>269</v>
      </c>
    </row>
    <row r="22" spans="2:11" ht="12.75" customHeight="1">
      <c r="B22" s="20" t="s">
        <v>274</v>
      </c>
      <c r="C22" s="20" t="s">
        <v>275</v>
      </c>
      <c r="D22" s="20">
        <v>10</v>
      </c>
      <c r="E22" s="20">
        <v>130</v>
      </c>
      <c r="F22" s="20">
        <v>15</v>
      </c>
      <c r="G22" s="7"/>
      <c r="J22">
        <v>25</v>
      </c>
      <c r="K22" t="s">
        <v>276</v>
      </c>
    </row>
    <row r="23" spans="2:11" ht="12.75" customHeight="1">
      <c r="B23" s="20" t="s">
        <v>277</v>
      </c>
      <c r="C23" s="20" t="s">
        <v>243</v>
      </c>
      <c r="D23" s="20">
        <v>0.3</v>
      </c>
      <c r="E23" s="20">
        <v>0</v>
      </c>
      <c r="F23" s="20"/>
      <c r="G23" s="7" t="s">
        <v>264</v>
      </c>
      <c r="J23">
        <v>26</v>
      </c>
      <c r="K23" t="s">
        <v>276</v>
      </c>
    </row>
    <row r="24" spans="2:11" ht="12.75" customHeight="1">
      <c r="B24" s="20" t="s">
        <v>278</v>
      </c>
      <c r="C24" s="20" t="s">
        <v>251</v>
      </c>
      <c r="D24" s="20">
        <v>0.5</v>
      </c>
      <c r="E24" s="20">
        <v>2</v>
      </c>
      <c r="F24" s="20">
        <v>0</v>
      </c>
      <c r="G24" s="7" t="s">
        <v>279</v>
      </c>
      <c r="J24">
        <v>27</v>
      </c>
      <c r="K24" t="s">
        <v>276</v>
      </c>
    </row>
    <row r="25" spans="2:11" ht="12.75" customHeight="1">
      <c r="B25" s="20" t="s">
        <v>280</v>
      </c>
      <c r="C25" s="20" t="s">
        <v>242</v>
      </c>
      <c r="D25" s="20">
        <v>2</v>
      </c>
      <c r="E25" s="20">
        <v>20</v>
      </c>
      <c r="F25" s="20">
        <v>9</v>
      </c>
      <c r="G25" s="7" t="s">
        <v>279</v>
      </c>
      <c r="J25">
        <v>28</v>
      </c>
      <c r="K25" t="s">
        <v>276</v>
      </c>
    </row>
    <row r="26" spans="2:11" ht="12.75" customHeight="1">
      <c r="B26" s="20" t="s">
        <v>281</v>
      </c>
      <c r="C26" s="20" t="s">
        <v>245</v>
      </c>
      <c r="D26" s="20">
        <v>2</v>
      </c>
      <c r="E26" s="20">
        <v>30</v>
      </c>
      <c r="F26" s="20">
        <v>10</v>
      </c>
      <c r="G26" s="7" t="s">
        <v>279</v>
      </c>
      <c r="J26">
        <v>29</v>
      </c>
      <c r="K26" t="s">
        <v>276</v>
      </c>
    </row>
    <row r="27" spans="2:11" ht="12.75" customHeight="1">
      <c r="B27" s="20" t="s">
        <v>71</v>
      </c>
      <c r="C27" s="20" t="s">
        <v>269</v>
      </c>
      <c r="D27" s="20">
        <v>2</v>
      </c>
      <c r="E27" s="20">
        <v>40</v>
      </c>
      <c r="F27" s="20">
        <v>11</v>
      </c>
      <c r="G27" s="7" t="s">
        <v>279</v>
      </c>
      <c r="J27">
        <v>30</v>
      </c>
      <c r="K27" t="s">
        <v>254</v>
      </c>
    </row>
    <row r="28" spans="2:11" ht="12.75" customHeight="1">
      <c r="B28" s="20" t="s">
        <v>282</v>
      </c>
      <c r="C28" s="20" t="s">
        <v>252</v>
      </c>
      <c r="D28" s="20">
        <v>3</v>
      </c>
      <c r="E28" s="20">
        <v>50</v>
      </c>
      <c r="F28" s="20">
        <v>12</v>
      </c>
      <c r="G28" s="7" t="s">
        <v>279</v>
      </c>
      <c r="J28">
        <v>31</v>
      </c>
      <c r="K28" t="s">
        <v>254</v>
      </c>
    </row>
    <row r="29" spans="2:11" ht="12.75" customHeight="1">
      <c r="B29" s="20" t="s">
        <v>283</v>
      </c>
      <c r="C29" s="20" t="s">
        <v>275</v>
      </c>
      <c r="D29" s="20">
        <v>5</v>
      </c>
      <c r="E29" s="20">
        <v>80</v>
      </c>
      <c r="F29" s="20">
        <v>15</v>
      </c>
      <c r="G29" s="7" t="s">
        <v>279</v>
      </c>
      <c r="J29">
        <v>32</v>
      </c>
      <c r="K29" t="s">
        <v>254</v>
      </c>
    </row>
    <row r="30" spans="2:11" ht="12.75" customHeight="1">
      <c r="B30" s="20" t="s">
        <v>284</v>
      </c>
      <c r="C30" s="20"/>
      <c r="D30" s="20">
        <v>0.5</v>
      </c>
      <c r="E30" s="15">
        <v>20</v>
      </c>
      <c r="F30" s="17"/>
      <c r="G30" s="7"/>
      <c r="J30">
        <v>33</v>
      </c>
      <c r="K30" t="s">
        <v>254</v>
      </c>
    </row>
    <row r="31" spans="2:11" ht="12.75" customHeight="1">
      <c r="B31" s="20" t="s">
        <v>285</v>
      </c>
      <c r="C31" s="20"/>
      <c r="D31" s="20">
        <v>0.5</v>
      </c>
      <c r="E31" s="15">
        <v>20</v>
      </c>
      <c r="F31" s="17"/>
      <c r="G31" s="7"/>
      <c r="J31">
        <v>34</v>
      </c>
      <c r="K31" t="s">
        <v>254</v>
      </c>
    </row>
    <row r="32" spans="2:11" ht="12.75" customHeight="1">
      <c r="B32" s="20" t="s">
        <v>286</v>
      </c>
      <c r="C32" s="20"/>
      <c r="D32" s="20">
        <v>0.5</v>
      </c>
      <c r="E32" s="15">
        <v>2</v>
      </c>
      <c r="F32" s="17"/>
      <c r="G32" s="7"/>
      <c r="J32">
        <v>35</v>
      </c>
      <c r="K32" t="s">
        <v>254</v>
      </c>
    </row>
    <row r="33" spans="2:11" ht="12.75" customHeight="1">
      <c r="B33" s="20" t="s">
        <v>287</v>
      </c>
      <c r="C33" s="20"/>
      <c r="D33" s="20">
        <v>1</v>
      </c>
      <c r="E33" s="15">
        <v>30</v>
      </c>
      <c r="F33" s="17"/>
      <c r="G33" s="7"/>
      <c r="J33">
        <v>36</v>
      </c>
      <c r="K33" t="s">
        <v>254</v>
      </c>
    </row>
    <row r="34" spans="2:11" ht="12.75" customHeight="1">
      <c r="B34" s="20" t="s">
        <v>288</v>
      </c>
      <c r="C34" s="20" t="s">
        <v>242</v>
      </c>
      <c r="D34" s="20">
        <v>1.5</v>
      </c>
      <c r="E34" s="15">
        <v>20</v>
      </c>
      <c r="F34" s="17">
        <v>9</v>
      </c>
      <c r="G34" s="7" t="s">
        <v>264</v>
      </c>
    </row>
    <row r="35" spans="2:11" ht="12.75" customHeight="1">
      <c r="B35" s="20" t="s">
        <v>289</v>
      </c>
      <c r="C35" s="20" t="s">
        <v>242</v>
      </c>
      <c r="D35" s="20">
        <v>1.5</v>
      </c>
      <c r="E35" s="15">
        <v>20</v>
      </c>
      <c r="F35" s="17">
        <v>9</v>
      </c>
      <c r="G35" s="7"/>
      <c r="J35">
        <v>36</v>
      </c>
      <c r="K35" t="s">
        <v>254</v>
      </c>
    </row>
    <row r="36" spans="2:11" ht="12.75" customHeight="1">
      <c r="B36" s="20" t="s">
        <v>25</v>
      </c>
      <c r="C36" s="20" t="s">
        <v>245</v>
      </c>
      <c r="D36" s="20">
        <v>3</v>
      </c>
      <c r="E36" s="15">
        <v>40</v>
      </c>
      <c r="F36" s="17">
        <v>11</v>
      </c>
      <c r="G36" s="7" t="s">
        <v>264</v>
      </c>
    </row>
    <row r="37" spans="2:11" ht="12.75" customHeight="1">
      <c r="B37" s="20" t="s">
        <v>290</v>
      </c>
      <c r="C37" s="20" t="s">
        <v>245</v>
      </c>
      <c r="D37" s="20">
        <v>3</v>
      </c>
      <c r="E37" s="15">
        <v>40</v>
      </c>
      <c r="F37" s="17">
        <v>11</v>
      </c>
      <c r="G37" s="7"/>
      <c r="J37">
        <v>38</v>
      </c>
      <c r="K37" t="s">
        <v>254</v>
      </c>
    </row>
    <row r="38" spans="2:11" ht="12.75" customHeight="1">
      <c r="B38" s="20" t="s">
        <v>29</v>
      </c>
      <c r="C38" s="20" t="s">
        <v>262</v>
      </c>
      <c r="D38" s="20">
        <v>3</v>
      </c>
      <c r="E38" s="15">
        <v>40</v>
      </c>
      <c r="F38" s="17">
        <v>11</v>
      </c>
      <c r="G38" s="7"/>
      <c r="J38">
        <v>39</v>
      </c>
      <c r="K38" t="s">
        <v>254</v>
      </c>
    </row>
    <row r="39" spans="2:11" ht="12.75" customHeight="1">
      <c r="B39" s="20" t="s">
        <v>291</v>
      </c>
      <c r="C39" s="20" t="s">
        <v>252</v>
      </c>
      <c r="D39" s="20">
        <v>8</v>
      </c>
      <c r="E39" s="15">
        <v>70</v>
      </c>
      <c r="F39" s="17">
        <v>13</v>
      </c>
      <c r="G39" s="7"/>
      <c r="J39">
        <v>40</v>
      </c>
      <c r="K39" t="s">
        <v>259</v>
      </c>
    </row>
    <row r="40" spans="2:11" ht="12.75" customHeight="1">
      <c r="B40" s="20" t="s">
        <v>292</v>
      </c>
      <c r="C40" s="20" t="s">
        <v>293</v>
      </c>
      <c r="D40" s="20">
        <v>10</v>
      </c>
      <c r="E40" s="15">
        <v>100</v>
      </c>
      <c r="F40" s="17">
        <v>15</v>
      </c>
      <c r="G40" s="7"/>
      <c r="J40">
        <f t="shared" ref="J40:J49" si="0">J39+1</f>
        <v>41</v>
      </c>
      <c r="K40" t="s">
        <v>259</v>
      </c>
    </row>
    <row r="41" spans="2:11" ht="12.75" customHeight="1">
      <c r="B41" s="20" t="s">
        <v>294</v>
      </c>
      <c r="C41" s="20" t="s">
        <v>245</v>
      </c>
      <c r="D41" s="20">
        <v>2</v>
      </c>
      <c r="E41" s="15">
        <v>30</v>
      </c>
      <c r="F41" s="17">
        <v>10</v>
      </c>
      <c r="G41" s="7"/>
      <c r="J41">
        <f t="shared" si="0"/>
        <v>42</v>
      </c>
      <c r="K41" t="s">
        <v>259</v>
      </c>
    </row>
    <row r="42" spans="2:11" ht="12.75" customHeight="1">
      <c r="B42" s="20" t="s">
        <v>112</v>
      </c>
      <c r="C42" s="20" t="s">
        <v>269</v>
      </c>
      <c r="D42" s="20">
        <v>4</v>
      </c>
      <c r="E42" s="15">
        <v>65</v>
      </c>
      <c r="F42" s="17">
        <v>10</v>
      </c>
      <c r="G42" s="7"/>
      <c r="J42">
        <f t="shared" si="0"/>
        <v>43</v>
      </c>
      <c r="K42" t="s">
        <v>259</v>
      </c>
    </row>
    <row r="43" spans="2:11" ht="12.75" customHeight="1">
      <c r="B43" s="20" t="s">
        <v>295</v>
      </c>
      <c r="C43" s="20" t="s">
        <v>257</v>
      </c>
      <c r="D43" s="20">
        <v>9</v>
      </c>
      <c r="E43" s="15">
        <v>100</v>
      </c>
      <c r="F43" s="17">
        <v>13</v>
      </c>
      <c r="G43" s="7"/>
      <c r="J43">
        <f t="shared" si="0"/>
        <v>44</v>
      </c>
      <c r="K43" t="s">
        <v>259</v>
      </c>
    </row>
    <row r="44" spans="2:11" ht="12.75" customHeight="1">
      <c r="B44" s="20" t="s">
        <v>296</v>
      </c>
      <c r="C44" s="20" t="s">
        <v>273</v>
      </c>
      <c r="D44" s="20">
        <v>6</v>
      </c>
      <c r="E44" s="15">
        <v>50</v>
      </c>
      <c r="F44" s="17">
        <v>12</v>
      </c>
      <c r="G44" s="7"/>
      <c r="J44">
        <f t="shared" si="0"/>
        <v>45</v>
      </c>
      <c r="K44" t="s">
        <v>259</v>
      </c>
    </row>
    <row r="45" spans="2:11" ht="12.75" customHeight="1">
      <c r="B45" s="20" t="s">
        <v>297</v>
      </c>
      <c r="C45" s="20" t="s">
        <v>298</v>
      </c>
      <c r="D45" s="20">
        <v>1.5</v>
      </c>
      <c r="E45" s="15">
        <v>20</v>
      </c>
      <c r="F45" s="17">
        <v>11</v>
      </c>
      <c r="G45" s="7"/>
      <c r="J45">
        <f t="shared" si="0"/>
        <v>46</v>
      </c>
      <c r="K45" t="s">
        <v>259</v>
      </c>
    </row>
    <row r="46" spans="2:11" ht="12.75" customHeight="1">
      <c r="B46" s="20" t="s">
        <v>299</v>
      </c>
      <c r="C46" s="20" t="s">
        <v>246</v>
      </c>
      <c r="D46" s="20">
        <v>1</v>
      </c>
      <c r="E46" s="15">
        <v>40</v>
      </c>
      <c r="F46" s="17">
        <v>10</v>
      </c>
      <c r="G46" s="7"/>
      <c r="J46">
        <f t="shared" si="0"/>
        <v>47</v>
      </c>
      <c r="K46" t="s">
        <v>259</v>
      </c>
    </row>
    <row r="47" spans="2:11" ht="12.75" customHeight="1">
      <c r="B47" s="20" t="s">
        <v>105</v>
      </c>
      <c r="C47" s="20" t="s">
        <v>300</v>
      </c>
      <c r="D47" s="20">
        <v>1</v>
      </c>
      <c r="E47" s="15">
        <v>20</v>
      </c>
      <c r="F47" s="17">
        <v>0</v>
      </c>
      <c r="G47" s="7"/>
      <c r="J47">
        <f t="shared" si="0"/>
        <v>48</v>
      </c>
      <c r="K47" t="s">
        <v>259</v>
      </c>
    </row>
    <row r="48" spans="2:11" ht="12.75" customHeight="1">
      <c r="B48" s="20" t="s">
        <v>127</v>
      </c>
      <c r="C48" s="20" t="s">
        <v>242</v>
      </c>
      <c r="D48" s="20">
        <v>0.5</v>
      </c>
      <c r="E48" s="15">
        <v>30</v>
      </c>
      <c r="F48" s="17">
        <v>8</v>
      </c>
      <c r="G48" s="7"/>
      <c r="J48">
        <f t="shared" si="0"/>
        <v>49</v>
      </c>
      <c r="K48" t="s">
        <v>259</v>
      </c>
    </row>
    <row r="49" spans="2:11" ht="12.75" customHeight="1">
      <c r="B49" s="20" t="s">
        <v>110</v>
      </c>
      <c r="C49" s="20" t="s">
        <v>301</v>
      </c>
      <c r="D49" s="20">
        <v>0.5</v>
      </c>
      <c r="E49" s="15">
        <v>10</v>
      </c>
      <c r="F49" s="17">
        <v>8</v>
      </c>
      <c r="G49" s="7"/>
      <c r="J49">
        <f t="shared" si="0"/>
        <v>50</v>
      </c>
      <c r="K49" t="s">
        <v>302</v>
      </c>
    </row>
    <row r="50" spans="2:11" ht="12.75" customHeight="1">
      <c r="B50" s="20" t="s">
        <v>303</v>
      </c>
      <c r="C50" s="20" t="s">
        <v>252</v>
      </c>
      <c r="D50" s="20">
        <v>1.5</v>
      </c>
      <c r="E50" s="15">
        <v>20</v>
      </c>
      <c r="F50" s="17">
        <v>11</v>
      </c>
      <c r="G50" s="7" t="s">
        <v>264</v>
      </c>
    </row>
    <row r="51" spans="2:11" ht="12.75" customHeight="1">
      <c r="B51" s="20" t="s">
        <v>103</v>
      </c>
      <c r="C51" s="20" t="s">
        <v>252</v>
      </c>
      <c r="D51" s="20">
        <v>1.5</v>
      </c>
      <c r="E51" s="15">
        <v>20</v>
      </c>
      <c r="F51" s="17">
        <v>11</v>
      </c>
      <c r="G51" s="7"/>
      <c r="J51">
        <f>J49+1</f>
        <v>51</v>
      </c>
      <c r="K51" t="s">
        <v>302</v>
      </c>
    </row>
    <row r="52" spans="2:11" ht="12.75" customHeight="1">
      <c r="B52" s="20" t="s">
        <v>304</v>
      </c>
      <c r="C52" s="20" t="s">
        <v>262</v>
      </c>
      <c r="D52" s="20">
        <v>2</v>
      </c>
      <c r="E52" s="15">
        <v>35</v>
      </c>
      <c r="F52" s="17">
        <v>8</v>
      </c>
      <c r="G52" s="7"/>
      <c r="J52">
        <f t="shared" ref="J52:J61" si="1">J51+1</f>
        <v>52</v>
      </c>
      <c r="K52" t="s">
        <v>302</v>
      </c>
    </row>
    <row r="53" spans="2:11" ht="12.75" customHeight="1">
      <c r="B53" s="20" t="s">
        <v>305</v>
      </c>
      <c r="C53" s="20" t="s">
        <v>306</v>
      </c>
      <c r="D53" s="20">
        <v>1</v>
      </c>
      <c r="E53" s="15">
        <v>15</v>
      </c>
      <c r="F53" s="17">
        <v>0</v>
      </c>
      <c r="G53" s="7"/>
      <c r="J53">
        <f t="shared" si="1"/>
        <v>53</v>
      </c>
      <c r="K53" t="s">
        <v>302</v>
      </c>
    </row>
    <row r="54" spans="2:11" ht="12.75" customHeight="1">
      <c r="B54" s="2" t="s">
        <v>307</v>
      </c>
      <c r="C54" s="2"/>
      <c r="D54" s="2">
        <v>0.5</v>
      </c>
      <c r="E54" s="15">
        <v>15</v>
      </c>
      <c r="F54" s="17">
        <v>0</v>
      </c>
      <c r="G54" s="7"/>
      <c r="J54">
        <f t="shared" si="1"/>
        <v>54</v>
      </c>
      <c r="K54" t="s">
        <v>302</v>
      </c>
    </row>
    <row r="55" spans="2:11" ht="12.75" customHeight="1">
      <c r="B55" s="2" t="s">
        <v>308</v>
      </c>
      <c r="C55" s="2"/>
      <c r="D55" s="2">
        <v>0.1</v>
      </c>
      <c r="E55" s="15">
        <v>10</v>
      </c>
      <c r="F55" s="17"/>
      <c r="G55" s="7"/>
      <c r="J55">
        <f t="shared" si="1"/>
        <v>55</v>
      </c>
      <c r="K55" t="s">
        <v>302</v>
      </c>
    </row>
    <row r="56" spans="2:11" ht="12.75" customHeight="1">
      <c r="B56" s="20" t="s">
        <v>309</v>
      </c>
      <c r="C56" s="20" t="s">
        <v>300</v>
      </c>
      <c r="D56" s="20">
        <v>0.5</v>
      </c>
      <c r="E56" s="15">
        <v>1</v>
      </c>
      <c r="F56" s="17"/>
      <c r="G56" s="7"/>
      <c r="J56">
        <f t="shared" si="1"/>
        <v>56</v>
      </c>
      <c r="K56" t="s">
        <v>302</v>
      </c>
    </row>
    <row r="57" spans="2:11" ht="12.75" customHeight="1">
      <c r="B57" s="20" t="s">
        <v>310</v>
      </c>
      <c r="C57" s="20" t="s">
        <v>300</v>
      </c>
      <c r="D57" s="20">
        <v>0</v>
      </c>
      <c r="E57" s="15"/>
      <c r="F57" s="17"/>
      <c r="G57" s="7"/>
      <c r="J57">
        <f t="shared" si="1"/>
        <v>57</v>
      </c>
      <c r="K57" t="s">
        <v>302</v>
      </c>
    </row>
    <row r="58" spans="2:11" ht="12.75" customHeight="1">
      <c r="B58" s="20" t="s">
        <v>311</v>
      </c>
      <c r="C58" s="20" t="s">
        <v>245</v>
      </c>
      <c r="D58" s="20">
        <v>0</v>
      </c>
      <c r="E58" s="15"/>
      <c r="F58" s="17"/>
      <c r="G58" s="7"/>
      <c r="J58">
        <f t="shared" si="1"/>
        <v>58</v>
      </c>
      <c r="K58" t="s">
        <v>302</v>
      </c>
    </row>
    <row r="59" spans="2:11" ht="12.75" customHeight="1">
      <c r="B59" s="20" t="s">
        <v>312</v>
      </c>
      <c r="C59" s="20" t="s">
        <v>300</v>
      </c>
      <c r="D59" s="20">
        <v>1</v>
      </c>
      <c r="E59" s="15">
        <v>20</v>
      </c>
      <c r="F59" s="17"/>
      <c r="G59" s="7"/>
      <c r="J59">
        <f t="shared" si="1"/>
        <v>59</v>
      </c>
      <c r="K59" t="s">
        <v>302</v>
      </c>
    </row>
    <row r="60" spans="2:11" ht="12.75" customHeight="1">
      <c r="B60" s="2" t="s">
        <v>313</v>
      </c>
      <c r="C60" s="2" t="s">
        <v>300</v>
      </c>
      <c r="D60" s="2">
        <v>1</v>
      </c>
      <c r="E60" s="11">
        <v>1</v>
      </c>
      <c r="F60" s="17"/>
      <c r="G60" s="7" t="s">
        <v>264</v>
      </c>
      <c r="J60">
        <f t="shared" si="1"/>
        <v>60</v>
      </c>
      <c r="K60" t="s">
        <v>314</v>
      </c>
    </row>
    <row r="61" spans="2:11" ht="12.75" customHeight="1">
      <c r="B61" s="20" t="s">
        <v>315</v>
      </c>
      <c r="C61" s="20" t="s">
        <v>316</v>
      </c>
      <c r="D61" s="20">
        <v>0.7</v>
      </c>
      <c r="E61" s="15">
        <v>30</v>
      </c>
      <c r="F61" s="17"/>
      <c r="G61" s="7" t="s">
        <v>264</v>
      </c>
      <c r="J61">
        <f t="shared" si="1"/>
        <v>61</v>
      </c>
      <c r="K61" t="s">
        <v>314</v>
      </c>
    </row>
    <row r="62" spans="2:11" ht="12.75" customHeight="1">
      <c r="B62" s="20" t="s">
        <v>317</v>
      </c>
      <c r="C62" s="20"/>
      <c r="D62" s="20">
        <v>5</v>
      </c>
      <c r="E62" s="15">
        <v>600</v>
      </c>
      <c r="F62" s="17"/>
      <c r="G62" s="7"/>
    </row>
    <row r="63" spans="2:11" ht="12.75" customHeight="1">
      <c r="B63" s="20" t="s">
        <v>318</v>
      </c>
      <c r="C63" s="20"/>
      <c r="D63" s="20">
        <v>1</v>
      </c>
      <c r="E63" s="15">
        <v>100</v>
      </c>
      <c r="F63" s="17"/>
      <c r="G63" s="7"/>
    </row>
    <row r="64" spans="2:11" ht="12.75" customHeight="1">
      <c r="B64" s="2" t="s">
        <v>319</v>
      </c>
      <c r="C64" s="2" t="s">
        <v>320</v>
      </c>
      <c r="D64" s="2">
        <v>0</v>
      </c>
      <c r="E64" s="2">
        <v>0</v>
      </c>
      <c r="F64" s="2">
        <v>0</v>
      </c>
      <c r="G64" s="7"/>
    </row>
    <row r="65" spans="2:7" ht="12.75" customHeight="1">
      <c r="B65" s="20" t="s">
        <v>321</v>
      </c>
      <c r="C65" s="7" t="s">
        <v>322</v>
      </c>
      <c r="D65" s="7"/>
      <c r="E65" s="7"/>
      <c r="F65" s="7"/>
      <c r="G65" s="7"/>
    </row>
    <row r="66" spans="2:7" ht="12.75" customHeight="1">
      <c r="B66" s="20" t="s">
        <v>323</v>
      </c>
      <c r="C66" s="7" t="s">
        <v>269</v>
      </c>
      <c r="D66" s="7">
        <v>0</v>
      </c>
      <c r="E66" s="7">
        <v>0</v>
      </c>
      <c r="F66" s="7">
        <v>0</v>
      </c>
      <c r="G66" s="7"/>
    </row>
    <row r="67" spans="2:7" ht="12.75" customHeight="1">
      <c r="B67" s="20" t="s">
        <v>324</v>
      </c>
      <c r="C67" s="7"/>
      <c r="D67" s="7"/>
      <c r="E67" s="7"/>
      <c r="F67" s="7"/>
      <c r="G67" s="7"/>
    </row>
    <row r="68" spans="2:7" ht="12.75" customHeight="1">
      <c r="B68" s="20" t="s">
        <v>324</v>
      </c>
      <c r="C68" s="7"/>
      <c r="D68" s="7"/>
      <c r="E68" s="7"/>
      <c r="F68" s="7"/>
      <c r="G68" s="7"/>
    </row>
    <row r="69" spans="2:7" ht="12.75" customHeight="1">
      <c r="B69" s="20" t="s">
        <v>325</v>
      </c>
      <c r="C69" s="7"/>
      <c r="D69" s="7"/>
      <c r="E69" s="7"/>
      <c r="F69" s="7"/>
      <c r="G69" s="7"/>
    </row>
    <row r="70" spans="2:7" ht="12.75" customHeight="1">
      <c r="B70" s="20" t="s">
        <v>325</v>
      </c>
      <c r="C70" s="7"/>
      <c r="D70" s="7"/>
      <c r="E70" s="7"/>
      <c r="F70" s="7"/>
      <c r="G70" s="7"/>
    </row>
    <row r="71" spans="2:7" ht="12.75" customHeight="1">
      <c r="B71" s="20" t="s">
        <v>326</v>
      </c>
      <c r="C71" s="7"/>
      <c r="D71" s="7"/>
      <c r="E71" s="7"/>
      <c r="F71" s="7"/>
      <c r="G71" s="7"/>
    </row>
    <row r="72" spans="2:7" ht="12.75" customHeight="1">
      <c r="B72" s="20" t="s">
        <v>326</v>
      </c>
      <c r="C72" s="7"/>
      <c r="D72" s="7"/>
      <c r="E72" s="7"/>
      <c r="F72" s="7"/>
      <c r="G72" s="7"/>
    </row>
    <row r="73" spans="2:7" ht="12.75" customHeight="1">
      <c r="B73" s="20" t="s">
        <v>327</v>
      </c>
      <c r="C73" s="7"/>
      <c r="D73" s="7"/>
      <c r="E73" s="7"/>
      <c r="F73" s="7"/>
      <c r="G73" s="7"/>
    </row>
    <row r="74" spans="2:7" ht="12.75" customHeight="1">
      <c r="B74" s="20" t="s">
        <v>327</v>
      </c>
      <c r="C74" s="7"/>
      <c r="D74" s="7"/>
      <c r="E74" s="7"/>
      <c r="F74" s="7"/>
      <c r="G74" s="7"/>
    </row>
    <row r="75" spans="2:7" ht="12.75" customHeight="1">
      <c r="B75" s="20" t="s">
        <v>328</v>
      </c>
      <c r="C75" s="7"/>
      <c r="D75" s="7"/>
      <c r="E75" s="7"/>
      <c r="F75" s="7"/>
      <c r="G75" s="7"/>
    </row>
    <row r="76" spans="2:7" ht="12.75" customHeight="1">
      <c r="B76" s="20" t="s">
        <v>328</v>
      </c>
      <c r="C76" s="7"/>
      <c r="D76" s="7"/>
      <c r="E76" s="7"/>
      <c r="F76" s="7"/>
      <c r="G76" s="7"/>
    </row>
    <row r="77" spans="2:7" ht="12.75" customHeight="1">
      <c r="B77" s="20" t="s">
        <v>329</v>
      </c>
      <c r="C77" s="7"/>
      <c r="D77" s="7"/>
      <c r="E77" s="7"/>
      <c r="F77" s="7"/>
      <c r="G77" s="7"/>
    </row>
    <row r="78" spans="2:7" ht="12.75" customHeight="1">
      <c r="B78" s="20" t="s">
        <v>329</v>
      </c>
      <c r="C78" s="7"/>
      <c r="D78" s="7"/>
      <c r="E78" s="7"/>
      <c r="F78" s="7"/>
      <c r="G78"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R141"/>
  <sheetViews>
    <sheetView topLeftCell="A106" workbookViewId="0">
      <selection activeCell="B54" sqref="B54"/>
    </sheetView>
  </sheetViews>
  <sheetFormatPr defaultColWidth="17.140625" defaultRowHeight="12.75" customHeight="1"/>
  <cols>
    <col min="1" max="1" width="7.85546875" customWidth="1"/>
    <col min="2" max="2" width="21.42578125" customWidth="1"/>
    <col min="3" max="3" width="4.140625" customWidth="1"/>
    <col min="4" max="4" width="4.7109375" customWidth="1"/>
    <col min="5" max="5" width="3.140625" customWidth="1"/>
    <col min="6" max="6" width="5.28515625" customWidth="1"/>
    <col min="7" max="7" width="4.140625" customWidth="1"/>
    <col min="8" max="8" width="4.85546875" customWidth="1"/>
    <col min="9" max="9" width="5.7109375" customWidth="1"/>
    <col min="10" max="10" width="5.28515625" customWidth="1"/>
    <col min="11" max="11" width="42.7109375" style="106" customWidth="1"/>
    <col min="12" max="12" width="5.42578125" customWidth="1"/>
    <col min="13" max="13" width="7.28515625" customWidth="1"/>
    <col min="14" max="14" width="5.28515625" customWidth="1"/>
    <col min="15" max="15" width="14.42578125" customWidth="1"/>
    <col min="16" max="16" width="6.28515625" customWidth="1"/>
    <col min="17" max="17" width="8.5703125" customWidth="1"/>
  </cols>
  <sheetData>
    <row r="1" spans="1:15" ht="12.75" customHeight="1">
      <c r="A1" s="111" t="s">
        <v>845</v>
      </c>
      <c r="B1" s="14" t="s">
        <v>330</v>
      </c>
      <c r="C1" s="14" t="s">
        <v>331</v>
      </c>
      <c r="D1" s="14" t="s">
        <v>332</v>
      </c>
      <c r="E1" s="1" t="s">
        <v>82</v>
      </c>
      <c r="F1" s="1" t="s">
        <v>333</v>
      </c>
      <c r="G1" s="1" t="s">
        <v>334</v>
      </c>
      <c r="H1" s="14" t="s">
        <v>335</v>
      </c>
      <c r="I1" s="14" t="s">
        <v>336</v>
      </c>
      <c r="J1" s="14" t="s">
        <v>337</v>
      </c>
      <c r="K1" s="102" t="s">
        <v>338</v>
      </c>
      <c r="L1" t="s">
        <v>339</v>
      </c>
    </row>
    <row r="2" spans="1:15" ht="12.75" customHeight="1">
      <c r="A2" s="6" t="s">
        <v>836</v>
      </c>
      <c r="B2" s="107" t="s">
        <v>840</v>
      </c>
      <c r="C2" s="14"/>
      <c r="D2" s="14"/>
      <c r="E2" s="4"/>
      <c r="F2" s="4"/>
      <c r="G2" s="5"/>
      <c r="H2" s="14"/>
      <c r="I2" s="14"/>
      <c r="J2" s="14"/>
      <c r="K2" s="102"/>
    </row>
    <row r="3" spans="1:15" ht="12.75" customHeight="1">
      <c r="A3" s="6" t="s">
        <v>836</v>
      </c>
      <c r="B3" s="107" t="s">
        <v>841</v>
      </c>
      <c r="C3" s="14">
        <v>8</v>
      </c>
      <c r="D3" s="14">
        <v>8</v>
      </c>
      <c r="E3" s="14">
        <v>8</v>
      </c>
      <c r="F3" s="14">
        <v>8</v>
      </c>
      <c r="G3" s="4">
        <v>10</v>
      </c>
      <c r="H3" s="14"/>
      <c r="I3" s="14"/>
      <c r="J3" s="14"/>
      <c r="K3" s="102" t="s">
        <v>341</v>
      </c>
    </row>
    <row r="4" spans="1:15" ht="12.75" customHeight="1">
      <c r="A4" s="6" t="s">
        <v>836</v>
      </c>
      <c r="B4" s="107" t="s">
        <v>842</v>
      </c>
      <c r="C4" s="14">
        <v>6</v>
      </c>
      <c r="D4" s="14">
        <v>10</v>
      </c>
      <c r="E4" s="14">
        <v>8</v>
      </c>
      <c r="F4" s="14">
        <v>8</v>
      </c>
      <c r="G4" s="14">
        <v>12</v>
      </c>
      <c r="H4" s="14"/>
      <c r="I4" s="14"/>
      <c r="J4" s="14"/>
      <c r="K4" s="102" t="s">
        <v>343</v>
      </c>
    </row>
    <row r="5" spans="1:15" ht="12.75" customHeight="1">
      <c r="A5" s="6" t="s">
        <v>836</v>
      </c>
      <c r="B5" s="107" t="s">
        <v>843</v>
      </c>
      <c r="C5" s="14">
        <v>10</v>
      </c>
      <c r="D5" s="14">
        <v>6</v>
      </c>
      <c r="E5" s="1">
        <v>8</v>
      </c>
      <c r="F5" s="1">
        <v>8</v>
      </c>
      <c r="G5" s="1">
        <v>10</v>
      </c>
      <c r="H5" s="14"/>
      <c r="I5" s="14"/>
      <c r="J5" s="14"/>
      <c r="K5" s="102" t="s">
        <v>345</v>
      </c>
    </row>
    <row r="6" spans="1:15" ht="12.75" customHeight="1">
      <c r="A6" s="6" t="s">
        <v>836</v>
      </c>
      <c r="B6" s="107" t="s">
        <v>844</v>
      </c>
      <c r="C6" s="14">
        <v>4</v>
      </c>
      <c r="D6" s="14">
        <v>12</v>
      </c>
      <c r="E6" s="4">
        <v>8</v>
      </c>
      <c r="F6" s="4">
        <v>6</v>
      </c>
      <c r="G6" s="4">
        <v>6</v>
      </c>
      <c r="H6" s="14"/>
      <c r="I6" s="14"/>
      <c r="J6" s="14"/>
      <c r="K6" s="102" t="s">
        <v>347</v>
      </c>
    </row>
    <row r="7" spans="1:15" ht="12.75" customHeight="1">
      <c r="A7" s="6" t="s">
        <v>837</v>
      </c>
      <c r="B7" s="16" t="s">
        <v>349</v>
      </c>
      <c r="C7" s="100">
        <v>30</v>
      </c>
      <c r="D7" s="100">
        <v>11</v>
      </c>
      <c r="E7" s="100">
        <v>6</v>
      </c>
      <c r="F7" s="100">
        <v>0</v>
      </c>
      <c r="G7" s="100">
        <v>8</v>
      </c>
      <c r="H7" s="100"/>
      <c r="I7" s="100">
        <v>2</v>
      </c>
      <c r="J7" s="100"/>
      <c r="K7" s="102" t="s">
        <v>350</v>
      </c>
    </row>
    <row r="8" spans="1:15" ht="12.75" customHeight="1">
      <c r="A8" s="6" t="s">
        <v>837</v>
      </c>
      <c r="B8" s="16" t="s">
        <v>78</v>
      </c>
      <c r="C8" s="14">
        <v>20</v>
      </c>
      <c r="D8" s="14">
        <v>11</v>
      </c>
      <c r="E8" s="14">
        <v>6</v>
      </c>
      <c r="F8" s="14">
        <v>0</v>
      </c>
      <c r="G8" s="14">
        <v>10</v>
      </c>
      <c r="H8" s="14"/>
      <c r="I8" s="14">
        <v>2</v>
      </c>
      <c r="J8" s="14"/>
      <c r="K8" s="102" t="s">
        <v>351</v>
      </c>
    </row>
    <row r="9" spans="1:15" ht="12.75" customHeight="1">
      <c r="A9" s="6" t="s">
        <v>837</v>
      </c>
      <c r="B9" s="16" t="s">
        <v>353</v>
      </c>
      <c r="C9" s="14">
        <v>28</v>
      </c>
      <c r="D9" s="1">
        <v>12</v>
      </c>
      <c r="E9" s="1">
        <v>5</v>
      </c>
      <c r="F9" s="1">
        <v>0</v>
      </c>
      <c r="G9" s="1">
        <v>16</v>
      </c>
      <c r="H9" s="1"/>
      <c r="I9" s="1">
        <v>2</v>
      </c>
      <c r="J9" s="1"/>
      <c r="K9" s="103" t="s">
        <v>354</v>
      </c>
    </row>
    <row r="10" spans="1:15" ht="12.75" customHeight="1">
      <c r="A10" s="6" t="s">
        <v>837</v>
      </c>
      <c r="B10" s="16" t="s">
        <v>79</v>
      </c>
      <c r="C10" s="14">
        <v>14</v>
      </c>
      <c r="D10" s="4">
        <v>13</v>
      </c>
      <c r="E10" s="4">
        <v>5</v>
      </c>
      <c r="F10" s="4">
        <v>0</v>
      </c>
      <c r="G10" s="4">
        <v>14</v>
      </c>
      <c r="H10" s="4"/>
      <c r="I10" s="4">
        <v>2</v>
      </c>
      <c r="J10" s="4"/>
      <c r="K10" s="104" t="s">
        <v>355</v>
      </c>
    </row>
    <row r="11" spans="1:15" ht="12.75" customHeight="1">
      <c r="A11" s="6" t="s">
        <v>837</v>
      </c>
      <c r="B11" s="12" t="s">
        <v>357</v>
      </c>
      <c r="C11" s="100">
        <v>14</v>
      </c>
      <c r="D11" s="100">
        <v>10</v>
      </c>
      <c r="E11" s="1">
        <v>10</v>
      </c>
      <c r="F11" s="1"/>
      <c r="G11" s="1">
        <v>10</v>
      </c>
      <c r="H11" s="100"/>
      <c r="I11" s="100">
        <v>1</v>
      </c>
      <c r="J11" s="100"/>
      <c r="K11" s="102" t="s">
        <v>358</v>
      </c>
      <c r="L11" t="s">
        <v>359</v>
      </c>
    </row>
    <row r="12" spans="1:15" ht="12.75" customHeight="1">
      <c r="A12" s="6" t="s">
        <v>837</v>
      </c>
      <c r="B12" s="19" t="s">
        <v>65</v>
      </c>
      <c r="C12" s="100">
        <v>12</v>
      </c>
      <c r="D12" s="100">
        <v>8</v>
      </c>
      <c r="E12" s="4">
        <v>6</v>
      </c>
      <c r="F12" s="4">
        <v>8</v>
      </c>
      <c r="G12" s="4">
        <v>10</v>
      </c>
      <c r="H12" s="100"/>
      <c r="I12" s="100">
        <v>1</v>
      </c>
      <c r="J12" s="100"/>
      <c r="K12" s="102" t="s">
        <v>361</v>
      </c>
    </row>
    <row r="13" spans="1:15" ht="12.75" customHeight="1">
      <c r="A13" s="6" t="s">
        <v>837</v>
      </c>
      <c r="B13" s="16" t="s">
        <v>362</v>
      </c>
      <c r="C13" s="100">
        <v>16</v>
      </c>
      <c r="D13" s="100">
        <v>11</v>
      </c>
      <c r="E13" s="100">
        <v>8</v>
      </c>
      <c r="F13" s="100">
        <v>0</v>
      </c>
      <c r="G13" s="100">
        <v>8</v>
      </c>
      <c r="H13" s="100">
        <v>16</v>
      </c>
      <c r="I13" s="100">
        <v>3</v>
      </c>
      <c r="J13" s="100"/>
      <c r="K13" s="102" t="s">
        <v>363</v>
      </c>
      <c r="L13" t="s">
        <v>359</v>
      </c>
    </row>
    <row r="14" spans="1:15" ht="12.75" customHeight="1">
      <c r="A14" s="6" t="s">
        <v>837</v>
      </c>
      <c r="B14" s="16" t="s">
        <v>364</v>
      </c>
      <c r="C14" s="100">
        <v>30</v>
      </c>
      <c r="D14" s="100">
        <v>9</v>
      </c>
      <c r="E14" s="100">
        <v>8</v>
      </c>
      <c r="F14" s="100">
        <v>0</v>
      </c>
      <c r="G14" s="100">
        <v>10</v>
      </c>
      <c r="H14" s="100"/>
      <c r="I14" s="100"/>
      <c r="J14" s="100"/>
      <c r="K14" s="102" t="s">
        <v>365</v>
      </c>
      <c r="O14" t="s">
        <v>9</v>
      </c>
    </row>
    <row r="15" spans="1:15" ht="12.75" customHeight="1">
      <c r="A15" s="6" t="s">
        <v>837</v>
      </c>
      <c r="B15" s="16" t="s">
        <v>366</v>
      </c>
      <c r="C15" s="100">
        <v>6</v>
      </c>
      <c r="D15" s="100">
        <v>8</v>
      </c>
      <c r="E15" s="100">
        <v>10</v>
      </c>
      <c r="F15" s="100">
        <v>6</v>
      </c>
      <c r="G15" s="100">
        <v>10</v>
      </c>
      <c r="H15" s="100"/>
      <c r="I15" s="100"/>
      <c r="J15" s="100"/>
      <c r="K15" s="102" t="s">
        <v>367</v>
      </c>
    </row>
    <row r="16" spans="1:15" ht="12.75" customHeight="1">
      <c r="A16" s="6" t="s">
        <v>837</v>
      </c>
      <c r="B16" s="16" t="s">
        <v>368</v>
      </c>
      <c r="C16" s="14">
        <v>25</v>
      </c>
      <c r="D16" s="14">
        <v>11</v>
      </c>
      <c r="E16" s="14">
        <v>6</v>
      </c>
      <c r="F16" s="14">
        <v>0</v>
      </c>
      <c r="G16" s="14">
        <v>10</v>
      </c>
      <c r="H16" s="14"/>
      <c r="I16" s="1">
        <v>2</v>
      </c>
      <c r="J16" s="14"/>
      <c r="K16" s="102"/>
      <c r="O16" t="s">
        <v>9</v>
      </c>
    </row>
    <row r="17" spans="1:15" ht="12.75" customHeight="1">
      <c r="A17" s="6" t="s">
        <v>837</v>
      </c>
      <c r="B17" s="16" t="s">
        <v>369</v>
      </c>
      <c r="C17" s="100">
        <v>6</v>
      </c>
      <c r="D17" s="100">
        <v>6</v>
      </c>
      <c r="E17" s="100">
        <v>6</v>
      </c>
      <c r="F17" s="100">
        <v>6</v>
      </c>
      <c r="G17" s="100">
        <v>10</v>
      </c>
      <c r="H17" s="100"/>
      <c r="I17" s="4"/>
      <c r="J17" s="100"/>
      <c r="K17" s="102" t="s">
        <v>370</v>
      </c>
    </row>
    <row r="18" spans="1:15" ht="12.75" customHeight="1">
      <c r="A18" s="6" t="s">
        <v>837</v>
      </c>
      <c r="B18" s="16" t="s">
        <v>371</v>
      </c>
      <c r="C18" s="100">
        <v>12</v>
      </c>
      <c r="D18" s="100">
        <v>12</v>
      </c>
      <c r="E18" s="100">
        <v>14</v>
      </c>
      <c r="F18" s="100">
        <v>0</v>
      </c>
      <c r="G18" s="100">
        <v>6</v>
      </c>
      <c r="H18" s="100"/>
      <c r="I18" s="100">
        <v>1</v>
      </c>
      <c r="J18" s="1"/>
      <c r="K18" s="103" t="s">
        <v>372</v>
      </c>
    </row>
    <row r="19" spans="1:15" ht="12.75" customHeight="1">
      <c r="A19" s="6" t="s">
        <v>837</v>
      </c>
      <c r="B19" s="16" t="s">
        <v>373</v>
      </c>
      <c r="C19" s="100">
        <v>24</v>
      </c>
      <c r="D19" s="100">
        <v>14</v>
      </c>
      <c r="E19" s="100">
        <v>5</v>
      </c>
      <c r="F19" s="100">
        <v>0</v>
      </c>
      <c r="G19" s="100">
        <v>12</v>
      </c>
      <c r="H19" s="100"/>
      <c r="I19" s="100">
        <v>1</v>
      </c>
      <c r="J19" s="4"/>
      <c r="K19" s="104" t="s">
        <v>374</v>
      </c>
    </row>
    <row r="20" spans="1:15" ht="12.75" customHeight="1">
      <c r="A20" s="6" t="s">
        <v>837</v>
      </c>
      <c r="B20" s="16" t="s">
        <v>375</v>
      </c>
      <c r="C20" s="100">
        <v>20</v>
      </c>
      <c r="D20" s="100">
        <v>13</v>
      </c>
      <c r="E20" s="100">
        <v>4</v>
      </c>
      <c r="F20" s="100">
        <v>0</v>
      </c>
      <c r="G20" s="100">
        <v>10</v>
      </c>
      <c r="H20" s="100"/>
      <c r="I20" s="100">
        <v>1</v>
      </c>
      <c r="J20" s="100"/>
      <c r="K20" s="102" t="s">
        <v>376</v>
      </c>
    </row>
    <row r="21" spans="1:15" ht="12.75" customHeight="1">
      <c r="A21" s="6" t="s">
        <v>837</v>
      </c>
      <c r="B21" s="16" t="s">
        <v>75</v>
      </c>
      <c r="C21" s="100">
        <v>12</v>
      </c>
      <c r="D21" s="100">
        <v>12</v>
      </c>
      <c r="E21" s="100">
        <v>8</v>
      </c>
      <c r="F21" s="100">
        <v>0</v>
      </c>
      <c r="G21" s="100">
        <v>10</v>
      </c>
      <c r="H21" s="100"/>
      <c r="I21" s="100"/>
      <c r="J21" s="100"/>
      <c r="K21" s="102" t="s">
        <v>377</v>
      </c>
    </row>
    <row r="22" spans="1:15" ht="12.75" customHeight="1">
      <c r="A22" s="6" t="s">
        <v>837</v>
      </c>
      <c r="B22" s="16" t="s">
        <v>378</v>
      </c>
      <c r="C22" s="100" t="s">
        <v>379</v>
      </c>
      <c r="D22" s="100" t="s">
        <v>380</v>
      </c>
      <c r="E22" s="100" t="s">
        <v>381</v>
      </c>
      <c r="F22" s="100" t="s">
        <v>333</v>
      </c>
      <c r="G22" s="100" t="s">
        <v>382</v>
      </c>
      <c r="H22" s="100"/>
      <c r="I22" s="100" t="s">
        <v>383</v>
      </c>
      <c r="J22" s="100"/>
      <c r="K22" s="102"/>
    </row>
    <row r="23" spans="1:15" ht="12.75" customHeight="1">
      <c r="A23" s="6" t="s">
        <v>837</v>
      </c>
      <c r="B23" s="16" t="s">
        <v>384</v>
      </c>
      <c r="C23" s="14">
        <v>8</v>
      </c>
      <c r="D23" s="14">
        <v>8</v>
      </c>
      <c r="E23" s="14">
        <v>8</v>
      </c>
      <c r="F23" s="14">
        <v>8</v>
      </c>
      <c r="G23" s="14">
        <v>10</v>
      </c>
      <c r="H23" s="14"/>
      <c r="I23" s="14"/>
      <c r="J23" s="14"/>
      <c r="K23" s="102" t="s">
        <v>385</v>
      </c>
    </row>
    <row r="24" spans="1:15" ht="12.75" customHeight="1">
      <c r="A24" s="6" t="s">
        <v>837</v>
      </c>
      <c r="B24" s="100" t="s">
        <v>77</v>
      </c>
      <c r="C24" s="100">
        <v>14</v>
      </c>
      <c r="D24" s="100">
        <v>8</v>
      </c>
      <c r="E24" s="100">
        <v>8</v>
      </c>
      <c r="F24" s="100">
        <v>8</v>
      </c>
      <c r="G24" s="100">
        <v>10</v>
      </c>
      <c r="H24" s="100"/>
      <c r="I24" s="100">
        <v>0</v>
      </c>
      <c r="J24" s="100"/>
      <c r="K24" s="102" t="s">
        <v>386</v>
      </c>
    </row>
    <row r="25" spans="1:15" ht="12.75" customHeight="1">
      <c r="A25" s="6" t="s">
        <v>837</v>
      </c>
      <c r="B25" s="100" t="s">
        <v>387</v>
      </c>
      <c r="C25" s="14">
        <v>18</v>
      </c>
      <c r="D25" s="100">
        <v>11</v>
      </c>
      <c r="E25" s="100">
        <v>9</v>
      </c>
      <c r="F25" s="100">
        <v>0</v>
      </c>
      <c r="G25" s="100">
        <v>10</v>
      </c>
      <c r="H25" s="100"/>
      <c r="I25" s="100">
        <v>2</v>
      </c>
      <c r="J25" s="100"/>
      <c r="K25" s="102" t="s">
        <v>388</v>
      </c>
      <c r="O25" t="s">
        <v>9</v>
      </c>
    </row>
    <row r="26" spans="1:15" ht="12.75" customHeight="1">
      <c r="A26" s="6" t="s">
        <v>837</v>
      </c>
      <c r="B26" s="100" t="s">
        <v>389</v>
      </c>
      <c r="C26" s="14">
        <v>30</v>
      </c>
      <c r="D26" s="100">
        <v>13</v>
      </c>
      <c r="E26" s="100">
        <v>5</v>
      </c>
      <c r="F26" s="100">
        <v>0</v>
      </c>
      <c r="G26" s="100">
        <v>12</v>
      </c>
      <c r="H26" s="100"/>
      <c r="I26" s="100">
        <v>1</v>
      </c>
      <c r="J26" s="100"/>
      <c r="K26" s="102" t="s">
        <v>390</v>
      </c>
    </row>
    <row r="27" spans="1:15" ht="12.75" customHeight="1">
      <c r="A27" s="6" t="s">
        <v>837</v>
      </c>
      <c r="B27" s="100" t="s">
        <v>391</v>
      </c>
      <c r="C27" s="100">
        <v>18</v>
      </c>
      <c r="D27" s="100">
        <v>14</v>
      </c>
      <c r="E27" s="100">
        <v>10</v>
      </c>
      <c r="F27" s="100">
        <v>0</v>
      </c>
      <c r="G27" s="100">
        <v>12</v>
      </c>
      <c r="H27" s="100"/>
      <c r="I27" s="100">
        <v>2</v>
      </c>
      <c r="J27" s="100"/>
      <c r="K27" s="102" t="s">
        <v>392</v>
      </c>
    </row>
    <row r="28" spans="1:15" s="101" customFormat="1" ht="12.75" customHeight="1">
      <c r="A28" s="6" t="s">
        <v>837</v>
      </c>
      <c r="B28" s="101" t="s">
        <v>632</v>
      </c>
      <c r="C28" s="100">
        <v>11</v>
      </c>
      <c r="D28" s="100">
        <v>11</v>
      </c>
      <c r="E28" s="100">
        <v>0</v>
      </c>
      <c r="F28" s="100"/>
      <c r="G28" s="100">
        <v>10</v>
      </c>
      <c r="H28" s="100"/>
      <c r="I28" s="100"/>
      <c r="J28" s="100"/>
      <c r="K28" s="105" t="s">
        <v>633</v>
      </c>
    </row>
    <row r="29" spans="1:15" ht="12.75" customHeight="1">
      <c r="A29" s="6" t="s">
        <v>837</v>
      </c>
      <c r="B29" s="100" t="s">
        <v>393</v>
      </c>
      <c r="C29" s="14">
        <v>12</v>
      </c>
      <c r="D29" s="14">
        <v>12</v>
      </c>
      <c r="E29" s="100">
        <v>4</v>
      </c>
      <c r="F29" s="100">
        <v>0</v>
      </c>
      <c r="G29" s="100">
        <v>6</v>
      </c>
      <c r="H29" s="14"/>
      <c r="I29" s="14"/>
      <c r="J29" s="14"/>
      <c r="K29" s="102" t="s">
        <v>394</v>
      </c>
    </row>
    <row r="30" spans="1:15" ht="12.75" customHeight="1">
      <c r="A30" s="6" t="s">
        <v>837</v>
      </c>
      <c r="B30" s="100" t="s">
        <v>395</v>
      </c>
      <c r="C30" s="100">
        <v>16</v>
      </c>
      <c r="D30" s="100">
        <v>10</v>
      </c>
      <c r="E30" s="100">
        <v>1</v>
      </c>
      <c r="F30" s="100">
        <v>0</v>
      </c>
      <c r="G30" s="100">
        <v>12</v>
      </c>
      <c r="H30" s="100"/>
      <c r="I30" s="100">
        <v>0</v>
      </c>
      <c r="J30" s="100"/>
      <c r="K30" s="102" t="s">
        <v>396</v>
      </c>
    </row>
    <row r="31" spans="1:15" ht="12.75" customHeight="1">
      <c r="A31" s="6" t="s">
        <v>837</v>
      </c>
      <c r="B31" s="100" t="s">
        <v>397</v>
      </c>
      <c r="C31" s="100">
        <v>40</v>
      </c>
      <c r="D31" s="100">
        <v>12</v>
      </c>
      <c r="E31" s="100">
        <v>8</v>
      </c>
      <c r="F31" s="100">
        <v>0</v>
      </c>
      <c r="G31" s="100">
        <v>8</v>
      </c>
      <c r="H31" s="100"/>
      <c r="I31" s="100"/>
      <c r="J31" s="100"/>
      <c r="K31" s="102" t="s">
        <v>398</v>
      </c>
    </row>
    <row r="32" spans="1:15" ht="12.75" customHeight="1">
      <c r="A32" s="6" t="s">
        <v>837</v>
      </c>
      <c r="B32" s="100" t="s">
        <v>68</v>
      </c>
      <c r="C32" s="100">
        <v>14</v>
      </c>
      <c r="D32" s="100">
        <v>8</v>
      </c>
      <c r="E32" s="100">
        <v>7</v>
      </c>
      <c r="F32" s="100">
        <v>6</v>
      </c>
      <c r="G32" s="100">
        <v>10</v>
      </c>
      <c r="H32" s="100"/>
      <c r="I32" s="100">
        <v>1</v>
      </c>
      <c r="J32" s="100"/>
      <c r="K32" s="102" t="s">
        <v>399</v>
      </c>
    </row>
    <row r="33" spans="1:18" ht="12.75" customHeight="1">
      <c r="A33" s="6" t="s">
        <v>837</v>
      </c>
      <c r="B33" s="100" t="s">
        <v>400</v>
      </c>
      <c r="C33" s="100">
        <v>20</v>
      </c>
      <c r="D33" s="100">
        <v>15</v>
      </c>
      <c r="E33" s="100">
        <v>10</v>
      </c>
      <c r="F33" s="100">
        <v>0</v>
      </c>
      <c r="G33" s="100">
        <v>8</v>
      </c>
      <c r="H33" s="100"/>
      <c r="I33" s="100">
        <v>2</v>
      </c>
      <c r="J33" s="100"/>
      <c r="K33" s="102" t="s">
        <v>401</v>
      </c>
    </row>
    <row r="34" spans="1:18" ht="12.75" customHeight="1">
      <c r="A34" s="6" t="s">
        <v>837</v>
      </c>
      <c r="B34" s="100" t="s">
        <v>81</v>
      </c>
      <c r="C34" s="100">
        <v>16</v>
      </c>
      <c r="D34" s="100">
        <v>12</v>
      </c>
      <c r="E34" s="100">
        <v>6</v>
      </c>
      <c r="F34" s="100">
        <v>0</v>
      </c>
      <c r="G34" s="100">
        <v>12</v>
      </c>
      <c r="H34" s="100">
        <v>12</v>
      </c>
      <c r="I34" s="100">
        <v>1</v>
      </c>
      <c r="J34" s="100">
        <v>0</v>
      </c>
      <c r="K34" s="102" t="s">
        <v>402</v>
      </c>
    </row>
    <row r="35" spans="1:18" ht="12.75" customHeight="1">
      <c r="A35" s="6" t="s">
        <v>837</v>
      </c>
      <c r="B35" s="100" t="s">
        <v>80</v>
      </c>
      <c r="C35" s="100">
        <v>10</v>
      </c>
      <c r="D35" s="100">
        <v>14</v>
      </c>
      <c r="E35" s="100">
        <v>6</v>
      </c>
      <c r="F35" s="100">
        <v>0</v>
      </c>
      <c r="G35" s="100">
        <v>12</v>
      </c>
      <c r="H35" s="100"/>
      <c r="I35" s="100">
        <v>1</v>
      </c>
      <c r="J35" s="100"/>
      <c r="K35" s="102" t="s">
        <v>403</v>
      </c>
    </row>
    <row r="36" spans="1:18" ht="12.75" customHeight="1">
      <c r="A36" s="6" t="s">
        <v>838</v>
      </c>
      <c r="B36" s="100" t="s">
        <v>636</v>
      </c>
      <c r="C36" s="100">
        <v>12</v>
      </c>
      <c r="D36" s="100">
        <v>12</v>
      </c>
      <c r="E36" s="100">
        <v>2</v>
      </c>
      <c r="F36" s="100"/>
      <c r="G36" s="100"/>
      <c r="H36" s="100"/>
      <c r="I36" s="100"/>
      <c r="J36" s="100"/>
      <c r="K36" s="102" t="str">
        <f t="shared" ref="K36:K67" si="0">CONCATENATE("dam:",O36, ";   ", R36, ";  treasure:",Q36)</f>
        <v>dam:2d6;   1-4: Worker, 5-6 Warrior;  treasure:lair x3</v>
      </c>
      <c r="O36" t="s">
        <v>719</v>
      </c>
      <c r="P36" t="s">
        <v>720</v>
      </c>
      <c r="Q36" s="101" t="s">
        <v>721</v>
      </c>
      <c r="R36" t="s">
        <v>718</v>
      </c>
    </row>
    <row r="37" spans="1:18" ht="12.75" customHeight="1">
      <c r="A37" s="101" t="s">
        <v>838</v>
      </c>
      <c r="B37" s="100" t="s">
        <v>635</v>
      </c>
      <c r="C37" s="100">
        <v>9</v>
      </c>
      <c r="D37" s="100">
        <v>11</v>
      </c>
      <c r="E37" s="100">
        <v>1</v>
      </c>
      <c r="F37" s="100"/>
      <c r="G37" s="100"/>
      <c r="H37" s="100"/>
      <c r="I37" s="100"/>
      <c r="J37" s="100"/>
      <c r="K37" s="102" t="str">
        <f t="shared" si="0"/>
        <v>dam:2d6;   1-4: Worker, 5-6 Warrior;  treasure:</v>
      </c>
      <c r="O37" t="s">
        <v>719</v>
      </c>
      <c r="P37" t="s">
        <v>720</v>
      </c>
      <c r="Q37" s="101"/>
      <c r="R37" t="s">
        <v>718</v>
      </c>
    </row>
    <row r="38" spans="1:18" ht="12.75" customHeight="1">
      <c r="A38" s="101" t="s">
        <v>838</v>
      </c>
      <c r="B38" s="100" t="s">
        <v>634</v>
      </c>
      <c r="C38" s="100">
        <v>6</v>
      </c>
      <c r="D38" s="100">
        <v>9</v>
      </c>
      <c r="E38" s="100">
        <v>1</v>
      </c>
      <c r="F38" s="100"/>
      <c r="G38" s="100"/>
      <c r="H38" s="100"/>
      <c r="I38" s="100"/>
      <c r="J38" s="100"/>
      <c r="K38" s="102" t="str">
        <f t="shared" si="0"/>
        <v>dam:1d6+1;   1-4: Worker, 5-6 Warrior;  treasure:</v>
      </c>
      <c r="O38" t="s">
        <v>717</v>
      </c>
      <c r="R38" t="s">
        <v>718</v>
      </c>
    </row>
    <row r="39" spans="1:18" ht="12.75" customHeight="1">
      <c r="A39" s="101" t="s">
        <v>838</v>
      </c>
      <c r="B39" s="101" t="s">
        <v>637</v>
      </c>
      <c r="C39" s="101">
        <v>20</v>
      </c>
      <c r="D39" s="101">
        <v>12</v>
      </c>
      <c r="E39" s="101">
        <v>7</v>
      </c>
      <c r="F39" s="101"/>
      <c r="G39" s="101"/>
      <c r="H39" s="101"/>
      <c r="I39" s="101"/>
      <c r="J39" s="101"/>
      <c r="K39" s="102" t="str">
        <f t="shared" si="0"/>
        <v>dam:2d6;   ;  treasure:pouch, if in lair</v>
      </c>
      <c r="O39" t="s">
        <v>719</v>
      </c>
      <c r="Q39" s="101" t="s">
        <v>722</v>
      </c>
    </row>
    <row r="40" spans="1:18" ht="12.75" customHeight="1">
      <c r="A40" s="101" t="s">
        <v>838</v>
      </c>
      <c r="B40" s="101" t="s">
        <v>638</v>
      </c>
      <c r="C40" s="101">
        <v>16</v>
      </c>
      <c r="D40" s="101">
        <v>13</v>
      </c>
      <c r="E40" s="101">
        <v>7</v>
      </c>
      <c r="F40" s="101"/>
      <c r="G40" s="101"/>
      <c r="H40" s="101"/>
      <c r="I40" s="101"/>
      <c r="J40" s="101"/>
      <c r="K40" s="102" t="str">
        <f t="shared" si="0"/>
        <v>dam:1d6+1;   ;  treasure:pouch</v>
      </c>
      <c r="O40" t="s">
        <v>717</v>
      </c>
      <c r="Q40" t="s">
        <v>723</v>
      </c>
    </row>
    <row r="41" spans="1:18" ht="12.75" customHeight="1">
      <c r="A41" s="101" t="s">
        <v>838</v>
      </c>
      <c r="B41" s="101" t="s">
        <v>639</v>
      </c>
      <c r="C41">
        <v>10</v>
      </c>
      <c r="D41">
        <v>8</v>
      </c>
      <c r="E41" s="101">
        <v>8</v>
      </c>
      <c r="F41" s="101"/>
      <c r="G41" s="101"/>
      <c r="K41" s="102" t="str">
        <f t="shared" si="0"/>
        <v>dam:1d6 bite;   4ft - 6ft long 8 leggedlizard. Forrests Grasslands and jungles. Each time it sits still it may paralyze an opponent with its gaze. This power acts like a freeze spellwith a 4/EN resistance. It lasts till the Basilisk is killed or dispel magic is cast.;  treasure:Lair</v>
      </c>
      <c r="O41" t="s">
        <v>724</v>
      </c>
      <c r="P41" t="s">
        <v>725</v>
      </c>
      <c r="Q41" t="s">
        <v>726</v>
      </c>
      <c r="R41" t="s">
        <v>727</v>
      </c>
    </row>
    <row r="42" spans="1:18" ht="12.75" customHeight="1">
      <c r="A42" s="101" t="s">
        <v>838</v>
      </c>
      <c r="B42" s="101" t="s">
        <v>640</v>
      </c>
      <c r="C42">
        <v>4</v>
      </c>
      <c r="D42">
        <v>10</v>
      </c>
      <c r="E42">
        <v>8</v>
      </c>
      <c r="K42" s="102" t="str">
        <f t="shared" si="0"/>
        <v>dam:1pt;   ;  treasure:None</v>
      </c>
      <c r="O42" t="s">
        <v>728</v>
      </c>
      <c r="Q42" s="101" t="s">
        <v>30</v>
      </c>
    </row>
    <row r="43" spans="1:18" ht="12.75" customHeight="1">
      <c r="A43" s="101" t="s">
        <v>838</v>
      </c>
      <c r="B43" s="101" t="s">
        <v>641</v>
      </c>
      <c r="C43">
        <v>4</v>
      </c>
      <c r="D43">
        <v>10</v>
      </c>
      <c r="E43">
        <v>4</v>
      </c>
      <c r="K43" s="102" t="str">
        <f t="shared" si="0"/>
        <v>dam:1d6;   Base damage +1pt per round. 3/ST to remove bat. Will fly away once victim is dead. Dead victim becomes (d6) 3-15:nothing.  16:Zombie 17:Ghoul 18:Vampire;  treasure:</v>
      </c>
      <c r="O43" t="s">
        <v>729</v>
      </c>
      <c r="R43" t="s">
        <v>730</v>
      </c>
    </row>
    <row r="44" spans="1:18" ht="12.75" customHeight="1">
      <c r="A44" s="101" t="s">
        <v>838</v>
      </c>
      <c r="B44" s="101" t="s">
        <v>642</v>
      </c>
      <c r="C44">
        <v>20</v>
      </c>
      <c r="D44">
        <v>11</v>
      </c>
      <c r="E44">
        <v>7</v>
      </c>
      <c r="K44" s="102" t="str">
        <f t="shared" si="0"/>
        <v>dam:1d6 Bite; 2d6 Claws;   Bear fur brigns 100 coin;  treasure:Lair</v>
      </c>
      <c r="O44" t="s">
        <v>731</v>
      </c>
      <c r="Q44" t="s">
        <v>726</v>
      </c>
      <c r="R44" t="s">
        <v>732</v>
      </c>
    </row>
    <row r="45" spans="1:18" ht="12.75" customHeight="1">
      <c r="A45" s="101" t="s">
        <v>838</v>
      </c>
      <c r="B45" s="101" t="s">
        <v>644</v>
      </c>
      <c r="C45">
        <v>40</v>
      </c>
      <c r="D45">
        <v>10</v>
      </c>
      <c r="E45">
        <v>5</v>
      </c>
      <c r="K45" s="102" t="str">
        <f t="shared" si="0"/>
        <v>dam:3d6+1;   ;  treasure:Lair x2</v>
      </c>
      <c r="O45" t="s">
        <v>735</v>
      </c>
      <c r="Q45" s="101" t="s">
        <v>736</v>
      </c>
    </row>
    <row r="46" spans="1:18" ht="12.75" customHeight="1">
      <c r="A46" s="101" t="s">
        <v>838</v>
      </c>
      <c r="B46" s="101" t="s">
        <v>643</v>
      </c>
      <c r="C46">
        <v>30</v>
      </c>
      <c r="D46">
        <v>11</v>
      </c>
      <c r="E46">
        <v>6</v>
      </c>
      <c r="J46" s="101"/>
      <c r="K46" s="102" t="str">
        <f t="shared" si="0"/>
        <v>dam:2d6+2;   Ferocious; does not fear humans;  treasure:Lair</v>
      </c>
      <c r="O46" t="s">
        <v>733</v>
      </c>
      <c r="Q46" t="s">
        <v>726</v>
      </c>
      <c r="R46" t="s">
        <v>734</v>
      </c>
    </row>
    <row r="47" spans="1:18" ht="12.75" customHeight="1">
      <c r="A47" s="101" t="s">
        <v>838</v>
      </c>
      <c r="B47" s="101" t="s">
        <v>645</v>
      </c>
      <c r="C47">
        <v>40</v>
      </c>
      <c r="D47">
        <v>8</v>
      </c>
      <c r="E47">
        <v>1</v>
      </c>
      <c r="K47" s="102" t="str">
        <f t="shared" si="0"/>
        <v>dam:1d6;   carapace armor 2 ft long. Glowing eyes and abdomen. excrete 5ft area 1x day;  treasure:None</v>
      </c>
      <c r="O47" t="s">
        <v>729</v>
      </c>
      <c r="P47" t="s">
        <v>737</v>
      </c>
      <c r="Q47" t="s">
        <v>30</v>
      </c>
      <c r="R47" t="s">
        <v>738</v>
      </c>
    </row>
    <row r="48" spans="1:18" ht="12.75" customHeight="1">
      <c r="A48" s="101" t="s">
        <v>838</v>
      </c>
      <c r="B48" s="101" t="s">
        <v>647</v>
      </c>
      <c r="C48">
        <v>20</v>
      </c>
      <c r="D48">
        <v>30</v>
      </c>
      <c r="E48" s="101">
        <v>2</v>
      </c>
      <c r="F48" s="101"/>
      <c r="G48" s="101"/>
      <c r="K48" s="102" t="str">
        <f t="shared" si="0"/>
        <v>dam:2d6;   carapace armor;  treasure:Lair</v>
      </c>
      <c r="O48" t="s">
        <v>719</v>
      </c>
      <c r="Q48" t="s">
        <v>726</v>
      </c>
      <c r="R48" t="s">
        <v>741</v>
      </c>
    </row>
    <row r="49" spans="1:18" ht="12.75" customHeight="1">
      <c r="A49" s="101" t="s">
        <v>838</v>
      </c>
      <c r="B49" s="101" t="s">
        <v>646</v>
      </c>
      <c r="C49">
        <v>11</v>
      </c>
      <c r="D49">
        <v>9</v>
      </c>
      <c r="E49">
        <v>2</v>
      </c>
      <c r="K49" s="102" t="str">
        <f t="shared" si="0"/>
        <v>dam:1d6+2;   carapace armor. 4ft long. If not moving difficult to spot (4/IQ). Kobolds sometimes use them as mounts.;  treasure:None</v>
      </c>
      <c r="O49" t="s">
        <v>739</v>
      </c>
      <c r="Q49" t="s">
        <v>30</v>
      </c>
      <c r="R49" t="s">
        <v>740</v>
      </c>
    </row>
    <row r="50" spans="1:18" ht="12.75" customHeight="1">
      <c r="A50" s="101" t="s">
        <v>838</v>
      </c>
      <c r="B50" s="101" t="s">
        <v>648</v>
      </c>
      <c r="C50">
        <v>20</v>
      </c>
      <c r="D50">
        <v>11</v>
      </c>
      <c r="E50" s="101">
        <v>7</v>
      </c>
      <c r="F50" s="101"/>
      <c r="G50" s="101"/>
      <c r="K50" s="102" t="str">
        <f t="shared" si="0"/>
        <v>dam:2d6;   Spectral hounds that haunt lonly hills, moors, and forrests. Massive, larger than wolves. ;  treasure:</v>
      </c>
      <c r="O50" t="s">
        <v>719</v>
      </c>
      <c r="P50" t="s">
        <v>742</v>
      </c>
      <c r="R50" t="s">
        <v>743</v>
      </c>
    </row>
    <row r="51" spans="1:18" ht="12.75" customHeight="1">
      <c r="A51" s="101" t="s">
        <v>838</v>
      </c>
      <c r="B51" s="101" t="s">
        <v>79</v>
      </c>
      <c r="C51">
        <v>9</v>
      </c>
      <c r="D51">
        <v>9</v>
      </c>
      <c r="E51" s="101">
        <v>7</v>
      </c>
      <c r="F51" s="101"/>
      <c r="G51" s="101"/>
      <c r="K51" s="102" t="str">
        <f t="shared" si="0"/>
        <v>dam:1d6+2;   Bite with Tusks. Tough hide;  treasure:</v>
      </c>
      <c r="O51" t="s">
        <v>739</v>
      </c>
      <c r="R51" t="s">
        <v>744</v>
      </c>
    </row>
    <row r="52" spans="1:18" ht="12.75" customHeight="1">
      <c r="A52" s="101" t="s">
        <v>838</v>
      </c>
      <c r="B52" s="101" t="s">
        <v>65</v>
      </c>
      <c r="C52" s="101">
        <v>12</v>
      </c>
      <c r="D52" s="101">
        <v>8</v>
      </c>
      <c r="E52" s="101">
        <v>6</v>
      </c>
      <c r="F52" s="101"/>
      <c r="G52" s="101"/>
      <c r="H52" s="101"/>
      <c r="I52" s="101"/>
      <c r="J52" s="101"/>
      <c r="K52" s="102" t="str">
        <f t="shared" si="0"/>
        <v>dam:;   Mace, Hammer, HTH preferred. 1pt Hide. Talents: any but generally Combat. ;  treasure:</v>
      </c>
      <c r="Q52" s="101"/>
      <c r="R52" t="s">
        <v>745</v>
      </c>
    </row>
    <row r="53" spans="1:18" ht="12.75" customHeight="1">
      <c r="A53" s="101" t="s">
        <v>838</v>
      </c>
      <c r="B53" s="101" t="s">
        <v>649</v>
      </c>
      <c r="C53">
        <v>14</v>
      </c>
      <c r="D53">
        <v>12</v>
      </c>
      <c r="E53">
        <v>8</v>
      </c>
      <c r="K53" s="102" t="str">
        <f t="shared" si="0"/>
        <v>dam:1d6+1; or +1 weapons;   Damage or by weapons. Centaur weapons deal +1 damage.;  treasure:Pouch, Pack, Chest</v>
      </c>
      <c r="O53" t="s">
        <v>746</v>
      </c>
      <c r="Q53" s="101" t="s">
        <v>747</v>
      </c>
      <c r="R53" t="s">
        <v>748</v>
      </c>
    </row>
    <row r="54" spans="1:18" ht="12.75" customHeight="1">
      <c r="A54" s="101" t="s">
        <v>838</v>
      </c>
      <c r="B54" s="101" t="s">
        <v>651</v>
      </c>
      <c r="C54">
        <v>15</v>
      </c>
      <c r="D54">
        <v>10</v>
      </c>
      <c r="E54" s="101">
        <v>3</v>
      </c>
      <c r="F54" s="101"/>
      <c r="G54" s="101"/>
      <c r="K54" s="102" t="str">
        <f t="shared" si="0"/>
        <v>dam:1d6+1;   6ft long, 1ft wide. Sewers, deep jungles, swamps. Love human meat;  treasure:</v>
      </c>
      <c r="O54" t="s">
        <v>717</v>
      </c>
      <c r="Q54" s="101"/>
      <c r="R54" t="s">
        <v>750</v>
      </c>
    </row>
    <row r="55" spans="1:18" ht="12.75" customHeight="1">
      <c r="A55" s="101" t="s">
        <v>838</v>
      </c>
      <c r="B55" s="101" t="s">
        <v>650</v>
      </c>
      <c r="C55" s="101">
        <v>1</v>
      </c>
      <c r="D55" s="101">
        <v>8</v>
      </c>
      <c r="E55" s="101">
        <v>2</v>
      </c>
      <c r="F55" s="101"/>
      <c r="G55" s="101"/>
      <c r="H55" s="101"/>
      <c r="I55" s="101"/>
      <c r="J55" s="101"/>
      <c r="K55" s="102" t="str">
        <f t="shared" si="0"/>
        <v>dam:1pt;   1pt damage but requires 3/ST save, or +1d6 damage;  treasure:</v>
      </c>
      <c r="O55" t="s">
        <v>728</v>
      </c>
      <c r="P55" t="s">
        <v>720</v>
      </c>
      <c r="R55" t="s">
        <v>749</v>
      </c>
    </row>
    <row r="56" spans="1:18" ht="12.75" customHeight="1">
      <c r="A56" s="101" t="s">
        <v>838</v>
      </c>
      <c r="B56" s="101" t="s">
        <v>652</v>
      </c>
      <c r="C56">
        <v>7</v>
      </c>
      <c r="D56">
        <v>13</v>
      </c>
      <c r="E56">
        <v>6</v>
      </c>
      <c r="K56" s="102" t="str">
        <f t="shared" si="0"/>
        <v>dam:1d6;   Tracking;  treasure:</v>
      </c>
      <c r="O56" t="s">
        <v>729</v>
      </c>
      <c r="Q56" s="101"/>
      <c r="R56" t="s">
        <v>176</v>
      </c>
    </row>
    <row r="57" spans="1:18" ht="12.75" customHeight="1">
      <c r="A57" s="101" t="s">
        <v>838</v>
      </c>
      <c r="B57" s="101" t="s">
        <v>653</v>
      </c>
      <c r="C57">
        <v>6</v>
      </c>
      <c r="D57" s="101">
        <v>13</v>
      </c>
      <c r="E57" s="101">
        <v>6</v>
      </c>
      <c r="F57" s="101"/>
      <c r="G57" s="101"/>
      <c r="H57" s="101"/>
      <c r="I57" s="101"/>
      <c r="J57" s="101"/>
      <c r="K57" s="102" t="str">
        <f t="shared" si="0"/>
        <v>dam:1d6-1;   ;  treasure:</v>
      </c>
      <c r="O57" t="s">
        <v>751</v>
      </c>
      <c r="Q57" s="101"/>
    </row>
    <row r="58" spans="1:18" ht="12.75" customHeight="1">
      <c r="A58" s="101" t="s">
        <v>838</v>
      </c>
      <c r="B58" s="101" t="s">
        <v>654</v>
      </c>
      <c r="C58">
        <v>5</v>
      </c>
      <c r="D58">
        <v>13</v>
      </c>
      <c r="E58">
        <v>6</v>
      </c>
      <c r="J58" s="101"/>
      <c r="K58" s="102" t="str">
        <f t="shared" si="0"/>
        <v>dam:1d6-1;   Trip or knockdown ;  treasure:</v>
      </c>
      <c r="O58" t="s">
        <v>751</v>
      </c>
      <c r="Q58" s="101"/>
      <c r="R58" t="s">
        <v>752</v>
      </c>
    </row>
    <row r="59" spans="1:18" ht="12.75" customHeight="1">
      <c r="A59" s="101" t="s">
        <v>838</v>
      </c>
      <c r="B59" s="101" t="s">
        <v>655</v>
      </c>
      <c r="C59" s="101">
        <v>12</v>
      </c>
      <c r="D59" s="101">
        <v>13</v>
      </c>
      <c r="E59" s="101">
        <v>6</v>
      </c>
      <c r="F59" s="101"/>
      <c r="G59" s="101"/>
      <c r="H59" s="101"/>
      <c r="I59" s="101"/>
      <c r="J59" s="101"/>
      <c r="K59" s="102" t="str">
        <f t="shared" si="0"/>
        <v>dam:1d6+2;   ;  treasure:</v>
      </c>
      <c r="O59" t="s">
        <v>739</v>
      </c>
      <c r="Q59" s="101"/>
    </row>
    <row r="60" spans="1:18" ht="12.75" customHeight="1">
      <c r="A60" s="101" t="s">
        <v>838</v>
      </c>
      <c r="B60" s="101" t="s">
        <v>656</v>
      </c>
      <c r="C60">
        <v>10</v>
      </c>
      <c r="D60">
        <v>14</v>
      </c>
      <c r="E60">
        <v>6</v>
      </c>
      <c r="K60" s="102" t="str">
        <f t="shared" si="0"/>
        <v>dam:1d6+1;   ;  treasure:</v>
      </c>
      <c r="O60" t="s">
        <v>717</v>
      </c>
      <c r="Q60" s="101"/>
    </row>
    <row r="61" spans="1:18" ht="12.75" customHeight="1">
      <c r="A61" s="101" t="s">
        <v>838</v>
      </c>
      <c r="B61" s="101" t="s">
        <v>658</v>
      </c>
      <c r="C61">
        <v>60</v>
      </c>
      <c r="D61">
        <v>14</v>
      </c>
      <c r="E61">
        <v>20</v>
      </c>
      <c r="K61" s="102" t="str">
        <f t="shared" si="0"/>
        <v>dam:3d6;   Dragons can make up to 3 attacks per turn, chosing 1 time per turn from the following: Breath weapon, claws, bite, and tail. One attack must always be with the tail;  treasure:Lair x8</v>
      </c>
      <c r="O61" t="s">
        <v>756</v>
      </c>
      <c r="P61" t="s">
        <v>753</v>
      </c>
      <c r="Q61" s="101" t="s">
        <v>757</v>
      </c>
      <c r="R61" t="s">
        <v>755</v>
      </c>
    </row>
    <row r="62" spans="1:18" ht="12.75" customHeight="1">
      <c r="A62" s="101" t="s">
        <v>838</v>
      </c>
      <c r="B62" s="101" t="s">
        <v>659</v>
      </c>
      <c r="C62" s="101">
        <v>80</v>
      </c>
      <c r="D62" s="101">
        <v>14</v>
      </c>
      <c r="E62" s="101">
        <v>20</v>
      </c>
      <c r="F62" s="101"/>
      <c r="G62" s="101"/>
      <c r="H62" s="101"/>
      <c r="I62" s="101"/>
      <c r="J62" s="101"/>
      <c r="K62" s="102" t="str">
        <f t="shared" si="0"/>
        <v>dam:4d6;   Dragons can make up to 3 attacks per turn, chosing 1 time per turn from the following: Breath weapon, claws, bite, and tail. One attack must always be with the tail;  treasure:Lair x12</v>
      </c>
      <c r="O62" t="s">
        <v>758</v>
      </c>
      <c r="P62" t="s">
        <v>753</v>
      </c>
      <c r="Q62" s="101" t="s">
        <v>759</v>
      </c>
      <c r="R62" t="s">
        <v>755</v>
      </c>
    </row>
    <row r="63" spans="1:18" ht="12.75" customHeight="1">
      <c r="A63" s="101" t="s">
        <v>838</v>
      </c>
      <c r="B63" s="101" t="s">
        <v>657</v>
      </c>
      <c r="C63">
        <v>30</v>
      </c>
      <c r="D63">
        <v>13</v>
      </c>
      <c r="E63" s="101">
        <v>16</v>
      </c>
      <c r="F63" s="101"/>
      <c r="G63" s="101"/>
      <c r="K63" s="102" t="str">
        <f t="shared" si="0"/>
        <v>dam:2d6;   Dragons can make up to 3 attacks per turn, chosing 1 time per turn from the following: Breath weapon, claws, bite, and tail. One attack must always be with the tail;  treasure:Lair x4</v>
      </c>
      <c r="O63" t="s">
        <v>719</v>
      </c>
      <c r="P63" t="s">
        <v>753</v>
      </c>
      <c r="Q63" s="101" t="s">
        <v>754</v>
      </c>
      <c r="R63" t="s">
        <v>755</v>
      </c>
    </row>
    <row r="64" spans="1:18" ht="12.75" customHeight="1">
      <c r="A64" s="101" t="s">
        <v>838</v>
      </c>
      <c r="B64" s="101" t="s">
        <v>660</v>
      </c>
      <c r="C64">
        <v>9</v>
      </c>
      <c r="D64" s="101">
        <v>11</v>
      </c>
      <c r="E64" s="101">
        <v>8</v>
      </c>
      <c r="F64" s="101"/>
      <c r="G64" s="101"/>
      <c r="H64" s="101"/>
      <c r="I64" s="101"/>
      <c r="J64" s="101"/>
      <c r="K64" s="102" t="str">
        <f t="shared" si="0"/>
        <v>dam:1d6+1; or weapon;   Leather Equiv armor / dx rating;  treasure:Pocket, Pouch, Chest</v>
      </c>
      <c r="O64" t="s">
        <v>760</v>
      </c>
      <c r="Q64" t="s">
        <v>761</v>
      </c>
      <c r="R64" t="s">
        <v>762</v>
      </c>
    </row>
    <row r="65" spans="1:18" ht="12.75" customHeight="1">
      <c r="A65" s="101" t="s">
        <v>838</v>
      </c>
      <c r="B65" s="101" t="s">
        <v>661</v>
      </c>
      <c r="C65">
        <v>10</v>
      </c>
      <c r="D65">
        <v>10</v>
      </c>
      <c r="E65">
        <v>8</v>
      </c>
      <c r="K65" s="102" t="str">
        <f t="shared" si="0"/>
        <v>dam:1d6+1; or weapon;   Leather Equiv armor / dx rating;  treasure:Pouchx2, Chest</v>
      </c>
      <c r="O65" t="s">
        <v>760</v>
      </c>
      <c r="Q65" t="s">
        <v>763</v>
      </c>
      <c r="R65" t="s">
        <v>762</v>
      </c>
    </row>
    <row r="66" spans="1:18" ht="12.75" customHeight="1">
      <c r="A66" s="101" t="s">
        <v>838</v>
      </c>
      <c r="B66" s="101" t="s">
        <v>662</v>
      </c>
      <c r="C66" t="s">
        <v>663</v>
      </c>
      <c r="D66">
        <v>12</v>
      </c>
      <c r="E66">
        <v>10</v>
      </c>
      <c r="K66" s="102" t="str">
        <f t="shared" si="0"/>
        <v>dam:2d (peck); 3d1 claw,grapple;   2d (peck); 3d1 claw,grapple;  treasure:Lair</v>
      </c>
      <c r="O66" t="s">
        <v>764</v>
      </c>
      <c r="Q66" t="s">
        <v>726</v>
      </c>
      <c r="R66" t="s">
        <v>764</v>
      </c>
    </row>
    <row r="67" spans="1:18" ht="12.75" customHeight="1">
      <c r="A67" s="101" t="s">
        <v>838</v>
      </c>
      <c r="B67" s="111" t="s">
        <v>849</v>
      </c>
      <c r="C67" s="101">
        <v>16</v>
      </c>
      <c r="D67" s="101">
        <v>12</v>
      </c>
      <c r="E67" s="101">
        <v>8</v>
      </c>
      <c r="F67" s="101"/>
      <c r="G67" s="101"/>
      <c r="H67" s="101"/>
      <c r="I67" s="101"/>
      <c r="J67" s="101"/>
      <c r="K67" s="102" t="str">
        <f t="shared" si="0"/>
        <v>dam:1d6;   lookup elementals in TFT;  treasure:</v>
      </c>
      <c r="O67" t="s">
        <v>729</v>
      </c>
      <c r="P67" t="s">
        <v>767</v>
      </c>
      <c r="R67" t="s">
        <v>839</v>
      </c>
    </row>
    <row r="68" spans="1:18" ht="12.75" customHeight="1">
      <c r="A68" s="101" t="s">
        <v>838</v>
      </c>
      <c r="B68" s="111" t="s">
        <v>846</v>
      </c>
      <c r="C68">
        <v>16</v>
      </c>
      <c r="D68">
        <v>10</v>
      </c>
      <c r="E68">
        <v>8</v>
      </c>
      <c r="K68" s="102" t="str">
        <f t="shared" ref="K68:K99" si="1">CONCATENATE("dam:",O68, ";   ", R68, ";  treasure:",Q68)</f>
        <v>dam:2d6;   lookup elementals in TFT;  treasure:</v>
      </c>
      <c r="O68" t="s">
        <v>719</v>
      </c>
      <c r="P68" t="s">
        <v>765</v>
      </c>
      <c r="R68" t="s">
        <v>839</v>
      </c>
    </row>
    <row r="69" spans="1:18" ht="12.75" customHeight="1">
      <c r="A69" s="101" t="s">
        <v>838</v>
      </c>
      <c r="B69" s="111" t="s">
        <v>847</v>
      </c>
      <c r="C69">
        <v>16</v>
      </c>
      <c r="D69">
        <v>12</v>
      </c>
      <c r="E69">
        <v>8</v>
      </c>
      <c r="J69" s="101"/>
      <c r="K69" s="102" t="str">
        <f t="shared" si="1"/>
        <v>dam:1d6;   lookup elementals in TFT;  treasure:</v>
      </c>
      <c r="O69" t="s">
        <v>729</v>
      </c>
      <c r="P69" t="s">
        <v>766</v>
      </c>
      <c r="R69" t="s">
        <v>839</v>
      </c>
    </row>
    <row r="70" spans="1:18" ht="12.75" customHeight="1">
      <c r="A70" s="101" t="s">
        <v>838</v>
      </c>
      <c r="B70" s="111" t="s">
        <v>848</v>
      </c>
      <c r="C70">
        <v>16</v>
      </c>
      <c r="D70">
        <v>12</v>
      </c>
      <c r="E70">
        <v>8</v>
      </c>
      <c r="K70" s="102" t="str">
        <f t="shared" si="1"/>
        <v>dam:1d6;   lookup elementals in TFT;  treasure:</v>
      </c>
      <c r="O70" t="s">
        <v>729</v>
      </c>
      <c r="P70" t="s">
        <v>720</v>
      </c>
      <c r="R70" t="s">
        <v>839</v>
      </c>
    </row>
    <row r="71" spans="1:18" ht="12.75" customHeight="1">
      <c r="A71" s="101" t="s">
        <v>838</v>
      </c>
      <c r="B71" s="101" t="s">
        <v>666</v>
      </c>
      <c r="C71">
        <v>6</v>
      </c>
      <c r="D71">
        <v>11</v>
      </c>
      <c r="E71" s="101">
        <v>8</v>
      </c>
      <c r="F71" s="101"/>
      <c r="G71" s="101"/>
      <c r="K71" s="102" t="str">
        <f t="shared" si="1"/>
        <v>dam:1d6; or weapon;   Underground Elves. Cloth Equiv armor / dx rating;  treasure:Pocket, Pouch, Chest</v>
      </c>
      <c r="O71" t="s">
        <v>769</v>
      </c>
      <c r="Q71" t="s">
        <v>761</v>
      </c>
      <c r="R71" t="s">
        <v>771</v>
      </c>
    </row>
    <row r="72" spans="1:18" ht="12.75" customHeight="1">
      <c r="A72" s="101" t="s">
        <v>838</v>
      </c>
      <c r="B72" s="101" t="s">
        <v>665</v>
      </c>
      <c r="C72">
        <v>6</v>
      </c>
      <c r="D72">
        <v>10</v>
      </c>
      <c r="E72">
        <v>9</v>
      </c>
      <c r="K72" s="102" t="str">
        <f t="shared" si="1"/>
        <v>dam:1d6; or weapon;   Cloth Equiv armor / dx rating;  treasure:Pocket, Pouch, Chest</v>
      </c>
      <c r="O72" t="s">
        <v>769</v>
      </c>
      <c r="Q72" s="101" t="s">
        <v>761</v>
      </c>
      <c r="R72" t="s">
        <v>770</v>
      </c>
    </row>
    <row r="73" spans="1:18" ht="12.75" customHeight="1">
      <c r="A73" s="101" t="s">
        <v>838</v>
      </c>
      <c r="B73" s="101" t="s">
        <v>667</v>
      </c>
      <c r="C73">
        <v>2</v>
      </c>
      <c r="D73">
        <v>9</v>
      </c>
      <c r="E73" s="101">
        <v>5</v>
      </c>
      <c r="F73" s="101"/>
      <c r="G73" s="101"/>
      <c r="K73" s="102" t="str">
        <f t="shared" si="1"/>
        <v>dam:1d6;   Purple black toad, with faux wings like flying fish. Climb trees and glide. Blood drinkers. Valued by some witches and alchemists;  treasure:</v>
      </c>
      <c r="O73" t="s">
        <v>729</v>
      </c>
      <c r="Q73" s="101"/>
      <c r="R73" s="101" t="s">
        <v>772</v>
      </c>
    </row>
    <row r="74" spans="1:18" ht="12.75" customHeight="1">
      <c r="A74" s="101" t="s">
        <v>838</v>
      </c>
      <c r="B74" s="101" t="s">
        <v>669</v>
      </c>
      <c r="C74">
        <v>24</v>
      </c>
      <c r="D74" s="101">
        <v>9</v>
      </c>
      <c r="E74" s="101">
        <v>5</v>
      </c>
      <c r="F74" s="101"/>
      <c r="G74" s="101"/>
      <c r="H74" s="101"/>
      <c r="I74" s="101"/>
      <c r="J74" s="101"/>
      <c r="K74" s="102" t="str">
        <f t="shared" si="1"/>
        <v>dam:2d6;   Up to 6ft tall, their tongues lash out up to 10 feet and if struck hero must pass 3/ST to avoid becoming paralyzed;  treasure:Lair</v>
      </c>
      <c r="O74" t="s">
        <v>719</v>
      </c>
      <c r="P74" t="s">
        <v>774</v>
      </c>
      <c r="Q74" s="101" t="s">
        <v>726</v>
      </c>
      <c r="R74" s="101" t="s">
        <v>775</v>
      </c>
    </row>
    <row r="75" spans="1:18" ht="12.75" customHeight="1">
      <c r="A75" s="101" t="s">
        <v>838</v>
      </c>
      <c r="B75" s="101" t="s">
        <v>668</v>
      </c>
      <c r="C75">
        <v>16</v>
      </c>
      <c r="D75">
        <v>9</v>
      </c>
      <c r="E75">
        <v>4</v>
      </c>
      <c r="K75" s="102" t="str">
        <f t="shared" si="1"/>
        <v>dam:1d6;   Tounge/Entangle;  treasure:</v>
      </c>
      <c r="O75" t="s">
        <v>729</v>
      </c>
      <c r="Q75" s="101"/>
      <c r="R75" s="101" t="s">
        <v>773</v>
      </c>
    </row>
    <row r="76" spans="1:18" ht="12.75" customHeight="1">
      <c r="A76" s="101" t="s">
        <v>838</v>
      </c>
      <c r="B76" s="101" t="s">
        <v>362</v>
      </c>
      <c r="C76">
        <v>16</v>
      </c>
      <c r="D76">
        <v>11</v>
      </c>
      <c r="E76" s="101">
        <v>8</v>
      </c>
      <c r="F76" s="101"/>
      <c r="G76" s="101"/>
      <c r="K76" s="102" t="str">
        <f t="shared" si="1"/>
        <v>dam:2d6;   ;  treasure:Lair</v>
      </c>
      <c r="O76" t="s">
        <v>719</v>
      </c>
      <c r="Q76" s="101" t="s">
        <v>726</v>
      </c>
      <c r="R76" s="101"/>
    </row>
    <row r="77" spans="1:18" ht="12.75" customHeight="1">
      <c r="A77" s="101" t="s">
        <v>838</v>
      </c>
      <c r="B77" s="101" t="s">
        <v>670</v>
      </c>
      <c r="C77">
        <v>15</v>
      </c>
      <c r="D77">
        <v>10</v>
      </c>
      <c r="E77">
        <v>8</v>
      </c>
      <c r="K77" s="102" t="str">
        <f t="shared" si="1"/>
        <v>dam:1d6;   ;  treasure:Pocket</v>
      </c>
      <c r="O77" t="s">
        <v>729</v>
      </c>
      <c r="P77" t="s">
        <v>725</v>
      </c>
      <c r="Q77" t="s">
        <v>776</v>
      </c>
      <c r="R77" s="101"/>
    </row>
    <row r="78" spans="1:18" ht="12.75" customHeight="1">
      <c r="A78" s="101" t="s">
        <v>838</v>
      </c>
      <c r="B78" s="101" t="s">
        <v>671</v>
      </c>
      <c r="C78">
        <v>30</v>
      </c>
      <c r="D78">
        <v>9</v>
      </c>
      <c r="E78">
        <v>7</v>
      </c>
      <c r="K78" s="102" t="str">
        <f t="shared" si="1"/>
        <v>dam:2d6+3;   up to 15ft in height, they use Clubs and fur;  treasure:Pouch x3, Chest</v>
      </c>
      <c r="O78" t="s">
        <v>777</v>
      </c>
      <c r="Q78" t="s">
        <v>778</v>
      </c>
      <c r="R78" t="s">
        <v>779</v>
      </c>
    </row>
    <row r="79" spans="1:18" ht="12.75" customHeight="1">
      <c r="A79" s="101" t="s">
        <v>838</v>
      </c>
      <c r="B79" s="101" t="s">
        <v>672</v>
      </c>
      <c r="C79" s="101">
        <v>40</v>
      </c>
      <c r="D79" s="101">
        <v>10</v>
      </c>
      <c r="E79" s="101">
        <v>8</v>
      </c>
      <c r="F79" s="101"/>
      <c r="G79" s="101"/>
      <c r="H79" s="101"/>
      <c r="I79" s="101"/>
      <c r="J79" s="101"/>
      <c r="K79" s="102" t="str">
        <f t="shared" si="1"/>
        <v>dam:3d6+2;   They stand 20ft to 25ft tall, and avoid humans except to drive them off their territory. they wear armor, craft weapoons and dream of the day they will rule the world again.;  treasure:Pack x2, Chest x4</v>
      </c>
      <c r="O79" t="s">
        <v>780</v>
      </c>
      <c r="Q79" s="101" t="s">
        <v>781</v>
      </c>
      <c r="R79" t="s">
        <v>782</v>
      </c>
    </row>
    <row r="80" spans="1:18" ht="12.75" customHeight="1">
      <c r="A80" s="101" t="s">
        <v>838</v>
      </c>
      <c r="B80" s="101" t="s">
        <v>673</v>
      </c>
      <c r="C80">
        <v>11</v>
      </c>
      <c r="D80">
        <v>10</v>
      </c>
      <c r="E80">
        <v>8</v>
      </c>
      <c r="K80" s="102" t="str">
        <f t="shared" si="1"/>
        <v>dam:1d6+2;   5 to 6ft dog-men. Peasants and unitiated  must pass a 3/IQ or lose 1 turn of action. Ambush and pack tactics. They prefer bows and daggers. Leather Equiv armor / dx rating;  treasure:Pocket, Pouch, Chest</v>
      </c>
      <c r="O80" t="s">
        <v>739</v>
      </c>
      <c r="Q80" s="101" t="s">
        <v>761</v>
      </c>
      <c r="R80" t="s">
        <v>783</v>
      </c>
    </row>
    <row r="81" spans="1:18" ht="12.75" customHeight="1">
      <c r="A81" s="101" t="s">
        <v>838</v>
      </c>
      <c r="B81" s="101" t="s">
        <v>366</v>
      </c>
      <c r="C81" s="101">
        <v>6</v>
      </c>
      <c r="D81" s="101">
        <v>11</v>
      </c>
      <c r="E81" s="101">
        <v>8</v>
      </c>
      <c r="F81" s="101"/>
      <c r="G81" s="101"/>
      <c r="H81" s="101"/>
      <c r="I81" s="101"/>
      <c r="J81" s="101"/>
      <c r="K81" s="102" t="str">
        <f t="shared" si="1"/>
        <v>dam:1d6;   Grey green, red eyes &amp; sharp teeth. Dark sight 60ft. When exposed to daylight equivolent all tests are +1 die.  Cloth Equiv armor / dx rating;  treasure:Pocket, Chest</v>
      </c>
      <c r="O81" t="s">
        <v>729</v>
      </c>
      <c r="Q81" t="s">
        <v>784</v>
      </c>
      <c r="R81" t="s">
        <v>785</v>
      </c>
    </row>
    <row r="82" spans="1:18" ht="12.75" customHeight="1">
      <c r="A82" s="101" t="s">
        <v>838</v>
      </c>
      <c r="B82" s="101" t="s">
        <v>674</v>
      </c>
      <c r="C82">
        <v>6</v>
      </c>
      <c r="D82">
        <v>8</v>
      </c>
      <c r="E82" s="101">
        <v>8</v>
      </c>
      <c r="F82" s="101"/>
      <c r="G82" s="101"/>
      <c r="K82" s="102" t="str">
        <f t="shared" si="1"/>
        <v>dam:1d6;   Climbing;  treasure:Pocket, Chest</v>
      </c>
      <c r="O82" t="s">
        <v>729</v>
      </c>
      <c r="Q82" t="s">
        <v>784</v>
      </c>
      <c r="R82" t="s">
        <v>135</v>
      </c>
    </row>
    <row r="83" spans="1:18" ht="12.75" customHeight="1">
      <c r="A83" s="101" t="s">
        <v>838</v>
      </c>
      <c r="B83" s="101" t="s">
        <v>675</v>
      </c>
      <c r="C83" s="101">
        <v>14</v>
      </c>
      <c r="D83" s="101">
        <v>11</v>
      </c>
      <c r="E83" s="101">
        <v>7</v>
      </c>
      <c r="F83" s="101"/>
      <c r="G83" s="101"/>
      <c r="H83" s="101"/>
      <c r="I83" s="101"/>
      <c r="J83" s="101"/>
      <c r="K83" s="102" t="str">
        <f t="shared" si="1"/>
        <v>dam:2d6;   Goat men. Raid human settlements, found in forrests, hills and mountains. A growing threat. Cloth Equiv armor / dx rating;  treasure:Pouch</v>
      </c>
      <c r="O83" t="s">
        <v>719</v>
      </c>
      <c r="Q83" t="s">
        <v>786</v>
      </c>
      <c r="R83" t="s">
        <v>787</v>
      </c>
    </row>
    <row r="84" spans="1:18" ht="12.75" customHeight="1">
      <c r="A84" s="101" t="s">
        <v>838</v>
      </c>
      <c r="B84" s="101" t="s">
        <v>676</v>
      </c>
      <c r="C84">
        <v>16</v>
      </c>
      <c r="D84">
        <v>12</v>
      </c>
      <c r="E84">
        <v>8</v>
      </c>
      <c r="K84" s="102" t="str">
        <f t="shared" si="1"/>
        <v>dam:2d6;   Leather Equiv armor / dx rating;  treasure:Pouch x2</v>
      </c>
      <c r="O84" t="s">
        <v>719</v>
      </c>
      <c r="Q84" t="s">
        <v>788</v>
      </c>
      <c r="R84" t="s">
        <v>762</v>
      </c>
    </row>
    <row r="85" spans="1:18" ht="12.75" customHeight="1">
      <c r="A85" s="101" t="s">
        <v>838</v>
      </c>
      <c r="B85" s="101" t="s">
        <v>677</v>
      </c>
      <c r="C85">
        <v>26</v>
      </c>
      <c r="D85">
        <v>12</v>
      </c>
      <c r="E85">
        <v>6</v>
      </c>
      <c r="K85" s="102" t="str">
        <f t="shared" si="1"/>
        <v>dam:2d6+1;   ;  treasure:Lair</v>
      </c>
      <c r="O85" t="s">
        <v>789</v>
      </c>
      <c r="Q85" t="s">
        <v>726</v>
      </c>
    </row>
    <row r="86" spans="1:18" ht="12.75" customHeight="1">
      <c r="A86" s="101" t="s">
        <v>838</v>
      </c>
      <c r="B86" s="101" t="s">
        <v>678</v>
      </c>
      <c r="C86">
        <v>4</v>
      </c>
      <c r="D86" s="101">
        <v>12</v>
      </c>
      <c r="E86" s="101">
        <v>8</v>
      </c>
      <c r="F86" s="101"/>
      <c r="G86" s="101"/>
      <c r="H86" s="101"/>
      <c r="I86" s="101"/>
      <c r="J86" s="101"/>
      <c r="K86" s="102" t="str">
        <f t="shared" si="1"/>
        <v>dam:1d6;   Cloth Equiv armor / dx rating;  treasure:Pocket x2, Chest</v>
      </c>
      <c r="O86" t="s">
        <v>729</v>
      </c>
      <c r="Q86" t="s">
        <v>790</v>
      </c>
      <c r="R86" t="s">
        <v>770</v>
      </c>
    </row>
    <row r="87" spans="1:18" ht="12.75" customHeight="1">
      <c r="A87" s="101" t="s">
        <v>838</v>
      </c>
      <c r="B87" s="101" t="s">
        <v>369</v>
      </c>
      <c r="C87">
        <v>10</v>
      </c>
      <c r="D87">
        <v>10</v>
      </c>
      <c r="E87">
        <v>8</v>
      </c>
      <c r="J87" s="101"/>
      <c r="K87" s="102" t="str">
        <f t="shared" si="1"/>
        <v>dam:;   ;  treasure:</v>
      </c>
    </row>
    <row r="88" spans="1:18" ht="12.75" customHeight="1">
      <c r="A88" s="101" t="s">
        <v>838</v>
      </c>
      <c r="B88" s="101" t="s">
        <v>679</v>
      </c>
      <c r="C88" s="101">
        <v>20</v>
      </c>
      <c r="D88" s="101">
        <v>12</v>
      </c>
      <c r="E88" s="101">
        <v>6</v>
      </c>
      <c r="F88" s="101"/>
      <c r="G88" s="101"/>
      <c r="H88" s="101"/>
      <c r="I88" s="101"/>
      <c r="J88" s="101"/>
      <c r="K88" s="102" t="str">
        <f t="shared" si="1"/>
        <v>dam:1d6;   ;  treasure:</v>
      </c>
      <c r="O88" t="s">
        <v>729</v>
      </c>
    </row>
    <row r="89" spans="1:18" ht="12.75" customHeight="1">
      <c r="A89" s="101" t="s">
        <v>838</v>
      </c>
      <c r="B89" s="101" t="s">
        <v>680</v>
      </c>
      <c r="C89" s="101">
        <v>2</v>
      </c>
      <c r="D89" s="101"/>
      <c r="E89" s="101"/>
      <c r="F89" s="101"/>
      <c r="G89" s="101"/>
      <c r="H89" s="101"/>
      <c r="I89" s="101"/>
      <c r="J89" s="101"/>
      <c r="K89" s="102" t="str">
        <f t="shared" si="1"/>
        <v>dam:;   ;  treasure:</v>
      </c>
    </row>
    <row r="90" spans="1:18" ht="12.75" customHeight="1">
      <c r="A90" s="101" t="s">
        <v>838</v>
      </c>
      <c r="B90" s="101" t="s">
        <v>686</v>
      </c>
      <c r="C90">
        <v>8</v>
      </c>
      <c r="D90">
        <v>9</v>
      </c>
      <c r="E90">
        <v>10</v>
      </c>
      <c r="K90" s="102" t="str">
        <f t="shared" si="1"/>
        <v>dam:1d6;   Cloth Equiv armor / dx rating.  Cultist knows 1 spell from each: 8, 9 lvls;  treasure:Pouch, Chest</v>
      </c>
      <c r="O90" t="s">
        <v>729</v>
      </c>
      <c r="Q90" t="s">
        <v>795</v>
      </c>
      <c r="R90" t="s">
        <v>796</v>
      </c>
    </row>
    <row r="91" spans="1:18" ht="12.75" customHeight="1">
      <c r="A91" s="101" t="s">
        <v>838</v>
      </c>
      <c r="B91" s="101" t="s">
        <v>682</v>
      </c>
      <c r="C91">
        <v>8</v>
      </c>
      <c r="D91" s="101">
        <v>9</v>
      </c>
      <c r="E91" s="101">
        <v>10</v>
      </c>
      <c r="F91" s="101"/>
      <c r="G91" s="101"/>
      <c r="H91" s="101"/>
      <c r="I91" s="101"/>
      <c r="J91" s="101"/>
      <c r="K91" s="102" t="str">
        <f t="shared" si="1"/>
        <v>dam:1d6;   Cloth Equiv armor / dx rating;  treasure:Pocket x2, Pouch x3, Chest</v>
      </c>
      <c r="O91" t="s">
        <v>729</v>
      </c>
      <c r="Q91" t="s">
        <v>791</v>
      </c>
      <c r="R91" t="s">
        <v>770</v>
      </c>
    </row>
    <row r="92" spans="1:18" ht="12.75" customHeight="1">
      <c r="A92" s="101" t="s">
        <v>838</v>
      </c>
      <c r="B92" s="101" t="s">
        <v>681</v>
      </c>
      <c r="C92">
        <v>8</v>
      </c>
      <c r="D92">
        <v>8</v>
      </c>
      <c r="E92" s="101">
        <v>8</v>
      </c>
      <c r="F92" s="101"/>
      <c r="G92" s="101"/>
      <c r="K92" s="102" t="str">
        <f t="shared" si="1"/>
        <v>dam:1d6;   ;  treasure:Pocket</v>
      </c>
      <c r="O92" t="s">
        <v>729</v>
      </c>
      <c r="Q92" t="s">
        <v>776</v>
      </c>
    </row>
    <row r="93" spans="1:18" ht="12.75" customHeight="1">
      <c r="A93" s="101" t="s">
        <v>838</v>
      </c>
      <c r="B93" s="101" t="s">
        <v>683</v>
      </c>
      <c r="C93" s="101">
        <v>10</v>
      </c>
      <c r="D93" s="101">
        <v>10</v>
      </c>
      <c r="E93" s="101">
        <v>8</v>
      </c>
      <c r="F93" s="101"/>
      <c r="G93" s="101"/>
      <c r="H93" s="101"/>
      <c r="I93" s="101"/>
      <c r="J93" s="101"/>
      <c r="K93" s="102" t="str">
        <f t="shared" si="1"/>
        <v>dam:2d6-1;   Leather Equiv armor / dx rating;  treasure:Pocket, Pouch, Chest</v>
      </c>
      <c r="O93" t="s">
        <v>792</v>
      </c>
      <c r="Q93" s="101" t="s">
        <v>761</v>
      </c>
      <c r="R93" t="s">
        <v>762</v>
      </c>
    </row>
    <row r="94" spans="1:18" ht="12.75" customHeight="1">
      <c r="A94" s="101" t="s">
        <v>838</v>
      </c>
      <c r="B94" s="101" t="s">
        <v>684</v>
      </c>
      <c r="C94">
        <v>8</v>
      </c>
      <c r="D94">
        <v>10</v>
      </c>
      <c r="E94" s="101">
        <v>8</v>
      </c>
      <c r="F94" s="101"/>
      <c r="G94" s="101"/>
      <c r="K94" s="102" t="str">
        <f t="shared" si="1"/>
        <v>dam:1d6+1;   ;  treasure:Pocket, Pouch</v>
      </c>
      <c r="O94" t="s">
        <v>717</v>
      </c>
      <c r="Q94" s="101" t="s">
        <v>793</v>
      </c>
    </row>
    <row r="95" spans="1:18" ht="12.75" customHeight="1">
      <c r="A95" s="101" t="s">
        <v>838</v>
      </c>
      <c r="B95" s="101" t="s">
        <v>685</v>
      </c>
      <c r="C95">
        <v>9</v>
      </c>
      <c r="D95">
        <v>8</v>
      </c>
      <c r="E95">
        <v>11</v>
      </c>
      <c r="K95" s="102" t="str">
        <f t="shared" si="1"/>
        <v>dam:1d6;   Wizard knows 1 spell from each: 8, 9, 10, 11 IQ lvls;  treasure:Lair</v>
      </c>
      <c r="O95" t="s">
        <v>729</v>
      </c>
      <c r="Q95" s="101" t="s">
        <v>726</v>
      </c>
      <c r="R95" t="s">
        <v>794</v>
      </c>
    </row>
    <row r="96" spans="1:18" ht="12.75" customHeight="1">
      <c r="A96" s="101" t="s">
        <v>838</v>
      </c>
      <c r="B96" s="101" t="s">
        <v>687</v>
      </c>
      <c r="C96">
        <v>40</v>
      </c>
      <c r="D96">
        <v>12</v>
      </c>
      <c r="E96">
        <v>8</v>
      </c>
      <c r="K96" s="102" t="str">
        <f t="shared" si="1"/>
        <v>dam:1d6;   ;  treasure:Lair</v>
      </c>
      <c r="O96" t="s">
        <v>729</v>
      </c>
      <c r="P96" t="s">
        <v>797</v>
      </c>
      <c r="Q96" t="s">
        <v>726</v>
      </c>
    </row>
    <row r="97" spans="1:18" ht="12.75" customHeight="1">
      <c r="A97" s="101" t="s">
        <v>838</v>
      </c>
      <c r="B97" s="101" t="s">
        <v>688</v>
      </c>
      <c r="C97">
        <v>70</v>
      </c>
      <c r="D97">
        <v>13</v>
      </c>
      <c r="E97">
        <v>10</v>
      </c>
      <c r="K97" s="102" t="str">
        <f t="shared" si="1"/>
        <v>dam:1d6+3;   ;  treasure:Lair x3</v>
      </c>
      <c r="O97" t="s">
        <v>798</v>
      </c>
      <c r="P97" t="s">
        <v>797</v>
      </c>
      <c r="Q97" t="s">
        <v>799</v>
      </c>
    </row>
    <row r="98" spans="1:18" ht="12.75" customHeight="1">
      <c r="A98" s="101" t="s">
        <v>838</v>
      </c>
      <c r="B98" s="101" t="s">
        <v>689</v>
      </c>
      <c r="C98" s="101">
        <v>4</v>
      </c>
      <c r="D98" s="101">
        <v>9</v>
      </c>
      <c r="E98" s="101">
        <v>8</v>
      </c>
      <c r="F98" s="101"/>
      <c r="G98" s="101"/>
      <c r="H98" s="101"/>
      <c r="I98" s="101"/>
      <c r="J98" s="101"/>
      <c r="K98" s="102" t="str">
        <f t="shared" si="1"/>
        <v>dam:1d6;   Cloth Equiv armor / dx rating. For every 20 kobolds, 2 will know lvl 8 spells;  treasure:</v>
      </c>
      <c r="O98" t="s">
        <v>729</v>
      </c>
      <c r="R98" t="s">
        <v>800</v>
      </c>
    </row>
    <row r="99" spans="1:18" ht="12.75" customHeight="1">
      <c r="A99" s="101" t="s">
        <v>838</v>
      </c>
      <c r="B99" s="101" t="s">
        <v>690</v>
      </c>
      <c r="C99" s="101">
        <v>8</v>
      </c>
      <c r="D99" s="101">
        <v>11</v>
      </c>
      <c r="E99" s="101">
        <v>7</v>
      </c>
      <c r="F99" s="101"/>
      <c r="G99" s="101"/>
      <c r="H99" s="101"/>
      <c r="I99" s="101"/>
      <c r="J99" s="101"/>
      <c r="K99" s="102" t="str">
        <f t="shared" si="1"/>
        <v>dam:1d6+1;   When stalking its prey it is 4/IQ to detect;  treasure:</v>
      </c>
      <c r="O99" t="s">
        <v>717</v>
      </c>
      <c r="R99" t="s">
        <v>801</v>
      </c>
    </row>
    <row r="100" spans="1:18" ht="12.75" customHeight="1">
      <c r="A100" s="101" t="s">
        <v>838</v>
      </c>
      <c r="B100" s="101" t="s">
        <v>375</v>
      </c>
      <c r="C100" s="101">
        <v>40</v>
      </c>
      <c r="D100" s="101">
        <v>11</v>
      </c>
      <c r="E100" s="101">
        <v>5</v>
      </c>
      <c r="F100" s="101"/>
      <c r="G100" s="101"/>
      <c r="H100" s="101"/>
      <c r="I100" s="101"/>
      <c r="J100" s="101"/>
      <c r="K100" s="102" t="str">
        <f t="shared" ref="K100:K132" si="2">CONCATENATE("dam:",O100, ";   ", R100, ";  treasure:",Q100)</f>
        <v>dam:2d6 bite, 1d6 claw;   15 to 30ft beasts very fond of human meat;  treasure:</v>
      </c>
      <c r="O100" t="s">
        <v>803</v>
      </c>
      <c r="R100" t="s">
        <v>804</v>
      </c>
    </row>
    <row r="101" spans="1:18" ht="12.75" customHeight="1">
      <c r="A101" s="101" t="s">
        <v>838</v>
      </c>
      <c r="B101" s="101" t="s">
        <v>691</v>
      </c>
      <c r="C101" s="101">
        <v>14</v>
      </c>
      <c r="D101" s="101">
        <v>10</v>
      </c>
      <c r="E101" s="101">
        <v>8</v>
      </c>
      <c r="F101" s="101"/>
      <c r="G101" s="101"/>
      <c r="H101" s="101"/>
      <c r="I101" s="101"/>
      <c r="J101" s="101"/>
      <c r="K101" s="102" t="str">
        <f t="shared" si="2"/>
        <v>dam:2d6;   ;  treasure:Pouch, Lair</v>
      </c>
      <c r="O101" t="s">
        <v>719</v>
      </c>
      <c r="Q101" t="s">
        <v>802</v>
      </c>
    </row>
    <row r="102" spans="1:18" ht="12.75" customHeight="1">
      <c r="A102" s="101" t="s">
        <v>838</v>
      </c>
      <c r="B102" s="101" t="s">
        <v>692</v>
      </c>
      <c r="C102">
        <v>25</v>
      </c>
      <c r="D102">
        <v>11</v>
      </c>
      <c r="E102">
        <v>5</v>
      </c>
      <c r="J102" s="101"/>
      <c r="K102" s="102" t="str">
        <f t="shared" si="2"/>
        <v>dam:1d6+2 bite, 1d6 claw;   8 to 10ft, traverse difficult terrain and hardy.;  treasure:</v>
      </c>
      <c r="O102" t="s">
        <v>805</v>
      </c>
      <c r="Q102" s="101"/>
      <c r="R102" t="s">
        <v>806</v>
      </c>
    </row>
    <row r="103" spans="1:18" ht="12.75" customHeight="1">
      <c r="A103" s="101" t="s">
        <v>838</v>
      </c>
      <c r="B103" s="101" t="s">
        <v>693</v>
      </c>
      <c r="C103">
        <v>30</v>
      </c>
      <c r="D103">
        <v>11</v>
      </c>
      <c r="E103">
        <v>7</v>
      </c>
      <c r="K103" s="102" t="str">
        <f t="shared" si="2"/>
        <v>dam:3d6;   ;  treasure:</v>
      </c>
      <c r="O103" t="s">
        <v>756</v>
      </c>
      <c r="P103" t="s">
        <v>742</v>
      </c>
    </row>
    <row r="104" spans="1:18" ht="12.75" customHeight="1">
      <c r="A104" s="101" t="s">
        <v>838</v>
      </c>
      <c r="B104" s="101" t="s">
        <v>694</v>
      </c>
      <c r="C104">
        <v>16</v>
      </c>
      <c r="D104">
        <v>8</v>
      </c>
      <c r="E104" s="101">
        <v>7</v>
      </c>
      <c r="F104" s="101"/>
      <c r="G104" s="101"/>
      <c r="K104" s="102" t="str">
        <f t="shared" si="2"/>
        <v>dam:1d6+2;   ;  treasure:Pocket</v>
      </c>
      <c r="O104" t="s">
        <v>739</v>
      </c>
      <c r="Q104" t="s">
        <v>776</v>
      </c>
    </row>
    <row r="105" spans="1:18" ht="12.75" customHeight="1">
      <c r="A105" s="101" t="s">
        <v>838</v>
      </c>
      <c r="B105" s="101" t="s">
        <v>695</v>
      </c>
      <c r="C105">
        <v>20</v>
      </c>
      <c r="D105">
        <v>14</v>
      </c>
      <c r="E105" s="101">
        <v>8</v>
      </c>
      <c r="F105" s="101"/>
      <c r="G105" s="101"/>
      <c r="K105" s="102" t="str">
        <f t="shared" si="2"/>
        <v>dam:1d6+2;   3 attacks per turn, or 2 and sheild.;  treasure:Pouch, Lair x2</v>
      </c>
      <c r="O105" t="s">
        <v>739</v>
      </c>
      <c r="Q105" s="101" t="s">
        <v>807</v>
      </c>
      <c r="R105" t="s">
        <v>808</v>
      </c>
    </row>
    <row r="106" spans="1:18" ht="12.75" customHeight="1">
      <c r="A106" s="101" t="s">
        <v>838</v>
      </c>
      <c r="B106" s="101" t="s">
        <v>696</v>
      </c>
      <c r="C106" s="101">
        <v>24</v>
      </c>
      <c r="D106" s="101">
        <v>7</v>
      </c>
      <c r="E106" s="101">
        <v>12</v>
      </c>
      <c r="F106" s="101"/>
      <c r="G106" s="101"/>
      <c r="H106" s="101"/>
      <c r="I106" s="101"/>
      <c r="J106" s="101"/>
      <c r="K106" s="102" t="str">
        <f t="shared" si="2"/>
        <v>dam:2d6;   ;  treasure:Pouch x2, Lair</v>
      </c>
      <c r="O106" t="s">
        <v>719</v>
      </c>
      <c r="Q106" s="101" t="s">
        <v>809</v>
      </c>
    </row>
    <row r="107" spans="1:18" ht="12.75" customHeight="1">
      <c r="A107" s="101" t="s">
        <v>838</v>
      </c>
      <c r="B107" s="101" t="s">
        <v>384</v>
      </c>
      <c r="C107">
        <v>10</v>
      </c>
      <c r="D107">
        <v>8</v>
      </c>
      <c r="E107">
        <v>7</v>
      </c>
      <c r="K107" s="102" t="str">
        <f t="shared" si="2"/>
        <v>dam:2d6-1;   Fearless, attack aggressively, love the taste of meat. Titans created them to root elves out of the forrests! Hazzah!;  treasure:Pouch, Pack, Chest</v>
      </c>
      <c r="O107" t="s">
        <v>792</v>
      </c>
      <c r="Q107" t="s">
        <v>747</v>
      </c>
      <c r="R107" t="s">
        <v>810</v>
      </c>
    </row>
    <row r="108" spans="1:18" ht="12.75" customHeight="1">
      <c r="A108" s="101" t="s">
        <v>838</v>
      </c>
      <c r="B108" s="101" t="s">
        <v>697</v>
      </c>
      <c r="C108">
        <v>24</v>
      </c>
      <c r="D108">
        <v>13</v>
      </c>
      <c r="E108">
        <v>6</v>
      </c>
      <c r="K108" s="102" t="str">
        <f t="shared" si="2"/>
        <v>dam:1d6;   ;  treasure:</v>
      </c>
      <c r="O108" t="s">
        <v>729</v>
      </c>
      <c r="Q108" s="101"/>
    </row>
    <row r="109" spans="1:18" ht="12.75" customHeight="1">
      <c r="A109" s="101" t="s">
        <v>838</v>
      </c>
      <c r="B109" s="101" t="s">
        <v>699</v>
      </c>
      <c r="C109">
        <v>4</v>
      </c>
      <c r="D109">
        <v>11</v>
      </c>
      <c r="E109">
        <v>4</v>
      </c>
      <c r="K109" s="102" t="str">
        <f t="shared" si="2"/>
        <v>dam:1d6;   Blood fever, 3/ST if fale, the target develops a fever making all tests +1 die until cured;  treasure:Pocket</v>
      </c>
      <c r="O109" t="s">
        <v>729</v>
      </c>
      <c r="P109" t="s">
        <v>720</v>
      </c>
      <c r="Q109" s="101" t="s">
        <v>776</v>
      </c>
      <c r="R109" t="s">
        <v>812</v>
      </c>
    </row>
    <row r="110" spans="1:18" ht="12.75" customHeight="1">
      <c r="A110" s="101" t="s">
        <v>838</v>
      </c>
      <c r="B110" s="101" t="s">
        <v>698</v>
      </c>
      <c r="C110">
        <v>1</v>
      </c>
      <c r="D110" s="101">
        <v>10</v>
      </c>
      <c r="E110" s="101">
        <v>4</v>
      </c>
      <c r="F110" s="101"/>
      <c r="G110" s="101"/>
      <c r="H110" s="101"/>
      <c r="I110" s="101"/>
      <c r="J110" s="101"/>
      <c r="K110" s="102" t="str">
        <f t="shared" si="2"/>
        <v>dam:1d6;   1 in 4 have plague.  roll 4/EN to survive;  treasure:</v>
      </c>
      <c r="O110" t="s">
        <v>729</v>
      </c>
      <c r="Q110" s="101"/>
      <c r="R110" t="s">
        <v>811</v>
      </c>
    </row>
    <row r="111" spans="1:18" ht="12.75" customHeight="1">
      <c r="A111" s="101" t="s">
        <v>838</v>
      </c>
      <c r="B111" s="101" t="s">
        <v>700</v>
      </c>
      <c r="C111">
        <v>7</v>
      </c>
      <c r="D111">
        <v>10</v>
      </c>
      <c r="E111">
        <v>7</v>
      </c>
      <c r="K111" s="102" t="str">
        <f t="shared" si="2"/>
        <v>dam:1d6;   known to carry diseases, a successful hit requires a 3/ST test or take +1d6 damage. Use weapons, armor and 1 in 18 will know a few spells.;  treasure:Pocket, Chest</v>
      </c>
      <c r="O111" t="s">
        <v>729</v>
      </c>
      <c r="P111" t="s">
        <v>720</v>
      </c>
      <c r="Q111" t="s">
        <v>784</v>
      </c>
      <c r="R111" t="s">
        <v>813</v>
      </c>
    </row>
    <row r="112" spans="1:18" ht="12.75" customHeight="1">
      <c r="A112" s="101" t="s">
        <v>838</v>
      </c>
      <c r="B112" s="101" t="s">
        <v>701</v>
      </c>
      <c r="C112" s="101">
        <v>1</v>
      </c>
      <c r="D112" s="101">
        <v>10</v>
      </c>
      <c r="E112" s="101">
        <v>1</v>
      </c>
      <c r="F112" s="101"/>
      <c r="G112" s="101"/>
      <c r="H112" s="101"/>
      <c r="I112" s="101"/>
      <c r="J112" s="101"/>
      <c r="K112" s="102" t="str">
        <f t="shared" si="2"/>
        <v>dam:1;   can pinch for 1 point of damage or may sting with its tail. Save 3/ST or take 1d6-1 from poison;  treasure:</v>
      </c>
      <c r="O112">
        <v>1</v>
      </c>
      <c r="P112" t="s">
        <v>720</v>
      </c>
      <c r="R112" t="s">
        <v>814</v>
      </c>
    </row>
    <row r="113" spans="1:18" ht="12.75" customHeight="1">
      <c r="A113" s="101" t="s">
        <v>838</v>
      </c>
      <c r="B113" s="101" t="s">
        <v>702</v>
      </c>
      <c r="C113">
        <v>20</v>
      </c>
      <c r="D113" s="101">
        <v>12</v>
      </c>
      <c r="E113" s="101">
        <v>1</v>
      </c>
      <c r="F113" s="101"/>
      <c r="G113" s="101"/>
      <c r="H113" s="101"/>
      <c r="I113" s="101"/>
      <c r="J113" s="101"/>
      <c r="K113" s="102" t="str">
        <f t="shared" si="2"/>
        <v>dam:2d6;   ;  treasure:Lair</v>
      </c>
      <c r="O113" t="s">
        <v>719</v>
      </c>
      <c r="P113" t="s">
        <v>720</v>
      </c>
      <c r="Q113" t="s">
        <v>726</v>
      </c>
    </row>
    <row r="114" spans="1:18" ht="12.75" customHeight="1">
      <c r="A114" s="101" t="s">
        <v>838</v>
      </c>
      <c r="B114" s="101" t="s">
        <v>703</v>
      </c>
      <c r="C114" s="101">
        <v>10</v>
      </c>
      <c r="D114" s="101">
        <v>14</v>
      </c>
      <c r="E114" s="101">
        <v>9</v>
      </c>
      <c r="F114" s="101"/>
      <c r="G114" s="101"/>
      <c r="H114" s="101"/>
      <c r="I114" s="101"/>
      <c r="J114" s="101"/>
      <c r="K114" s="102" t="str">
        <f t="shared" si="2"/>
        <v>dam:2d6;   They use swords or bows but can bite an opponent for 2d6 dam. If bitten thetarget must pass 3/ST or suffer +1d6 damage from poison.  There are rumors of secret alliance between lizard Men and Serpent Men. ;  treasure:Pouch, Pack, Lair x2</v>
      </c>
      <c r="O114" t="s">
        <v>719</v>
      </c>
      <c r="P114" t="s">
        <v>720</v>
      </c>
      <c r="Q114" t="s">
        <v>815</v>
      </c>
      <c r="R114" t="s">
        <v>816</v>
      </c>
    </row>
    <row r="115" spans="1:18" ht="12.75" customHeight="1">
      <c r="A115" s="101" t="s">
        <v>838</v>
      </c>
      <c r="B115" s="101" t="s">
        <v>632</v>
      </c>
      <c r="C115">
        <v>8</v>
      </c>
      <c r="D115">
        <v>9</v>
      </c>
      <c r="E115">
        <v>1</v>
      </c>
      <c r="K115" s="102" t="str">
        <f t="shared" si="2"/>
        <v>dam:1d6;   Immune to arrows and bolt. Armor and weaps. Skeleton Lords or those powered by strange magic crystals;  treasure:Pouch</v>
      </c>
      <c r="O115" t="s">
        <v>729</v>
      </c>
      <c r="P115" t="s">
        <v>817</v>
      </c>
      <c r="Q115" s="101" t="s">
        <v>786</v>
      </c>
      <c r="R115" t="s">
        <v>818</v>
      </c>
    </row>
    <row r="116" spans="1:18" ht="12.75" customHeight="1">
      <c r="A116" s="101" t="s">
        <v>838</v>
      </c>
      <c r="B116" s="101" t="s">
        <v>704</v>
      </c>
      <c r="C116">
        <v>30</v>
      </c>
      <c r="D116">
        <v>1</v>
      </c>
      <c r="E116">
        <v>1</v>
      </c>
      <c r="K116" s="102" t="str">
        <f t="shared" si="2"/>
        <v>dam:1pt/turn;   ;  treasure:</v>
      </c>
      <c r="O116" t="s">
        <v>819</v>
      </c>
      <c r="P116" t="s">
        <v>820</v>
      </c>
      <c r="Q116" s="101"/>
    </row>
    <row r="117" spans="1:18" ht="12.75" customHeight="1">
      <c r="A117" s="101" t="s">
        <v>838</v>
      </c>
      <c r="B117" s="101" t="s">
        <v>705</v>
      </c>
      <c r="C117">
        <v>16</v>
      </c>
      <c r="D117">
        <v>1</v>
      </c>
      <c r="E117">
        <v>1</v>
      </c>
      <c r="J117" s="101"/>
      <c r="K117" s="102" t="str">
        <f t="shared" si="2"/>
        <v>dam:2 pt/turn;   ;  treasure:</v>
      </c>
      <c r="O117" t="s">
        <v>821</v>
      </c>
      <c r="P117" t="s">
        <v>820</v>
      </c>
    </row>
    <row r="118" spans="1:18" ht="12.75" customHeight="1">
      <c r="A118" s="101" t="s">
        <v>838</v>
      </c>
      <c r="B118" s="101" t="s">
        <v>706</v>
      </c>
      <c r="C118">
        <v>18</v>
      </c>
      <c r="D118">
        <v>1</v>
      </c>
      <c r="E118">
        <v>1</v>
      </c>
      <c r="K118" s="102" t="str">
        <f t="shared" si="2"/>
        <v>dam:2 pt/turn;   ;  treasure:</v>
      </c>
      <c r="O118" t="s">
        <v>821</v>
      </c>
      <c r="P118" t="s">
        <v>822</v>
      </c>
    </row>
    <row r="119" spans="1:18" ht="12.75" customHeight="1">
      <c r="A119" s="101" t="s">
        <v>838</v>
      </c>
      <c r="B119" s="101" t="s">
        <v>707</v>
      </c>
      <c r="C119" s="101"/>
      <c r="D119" s="101"/>
      <c r="E119" s="101"/>
      <c r="F119" s="101"/>
      <c r="G119" s="101"/>
      <c r="H119" s="101"/>
      <c r="I119" s="101"/>
      <c r="J119" s="101"/>
      <c r="K119" s="102" t="str">
        <f t="shared" si="2"/>
        <v>dam:;   ;  treasure:</v>
      </c>
      <c r="Q119" s="101"/>
    </row>
    <row r="120" spans="1:18" ht="12.75" customHeight="1">
      <c r="A120" s="101" t="s">
        <v>838</v>
      </c>
      <c r="B120" s="101" t="s">
        <v>393</v>
      </c>
      <c r="C120">
        <v>16</v>
      </c>
      <c r="D120">
        <v>12</v>
      </c>
      <c r="E120">
        <v>4</v>
      </c>
      <c r="K120" s="102" t="str">
        <f t="shared" si="2"/>
        <v>dam:2d6;   rare and reasome, 20 to 60ft;  treasure:Lair</v>
      </c>
      <c r="O120" t="s">
        <v>719</v>
      </c>
      <c r="P120" t="s">
        <v>720</v>
      </c>
      <c r="Q120" t="s">
        <v>726</v>
      </c>
      <c r="R120" t="s">
        <v>823</v>
      </c>
    </row>
    <row r="121" spans="1:18" ht="12.75" customHeight="1">
      <c r="A121" s="101" t="s">
        <v>838</v>
      </c>
      <c r="B121" s="101" t="s">
        <v>395</v>
      </c>
      <c r="C121" s="101">
        <v>16</v>
      </c>
      <c r="D121" s="101">
        <v>10</v>
      </c>
      <c r="E121" s="101">
        <v>1</v>
      </c>
      <c r="F121" s="101"/>
      <c r="G121" s="101"/>
      <c r="H121" s="101"/>
      <c r="I121" s="101"/>
      <c r="J121" s="101"/>
      <c r="K121" s="102" t="str">
        <f t="shared" si="2"/>
        <v>dam:2d6;   Uman sized insects, Goblins have been know to use them as mounts;  treasure:Lair</v>
      </c>
      <c r="O121" t="s">
        <v>719</v>
      </c>
      <c r="P121" t="s">
        <v>825</v>
      </c>
      <c r="Q121" t="s">
        <v>726</v>
      </c>
      <c r="R121" t="s">
        <v>826</v>
      </c>
    </row>
    <row r="122" spans="1:18" ht="12.75" customHeight="1">
      <c r="A122" s="101" t="s">
        <v>838</v>
      </c>
      <c r="B122" s="101" t="s">
        <v>708</v>
      </c>
      <c r="C122">
        <v>1</v>
      </c>
      <c r="D122">
        <v>10</v>
      </c>
      <c r="E122">
        <v>6</v>
      </c>
      <c r="J122" s="101"/>
      <c r="K122" s="102" t="str">
        <f t="shared" si="2"/>
        <v>dam:1d6;   critter does 1pt, but you must pass 3/ST or take 1d6 additional dam from poison;  treasure:</v>
      </c>
      <c r="O122" t="s">
        <v>729</v>
      </c>
      <c r="P122" t="s">
        <v>720</v>
      </c>
      <c r="R122" t="s">
        <v>824</v>
      </c>
    </row>
    <row r="123" spans="1:18" ht="12.75" customHeight="1">
      <c r="A123" s="101" t="s">
        <v>838</v>
      </c>
      <c r="B123" s="101" t="s">
        <v>709</v>
      </c>
      <c r="C123" s="101">
        <v>22</v>
      </c>
      <c r="D123" s="101">
        <v>12</v>
      </c>
      <c r="E123" s="101">
        <v>5</v>
      </c>
      <c r="F123" s="101"/>
      <c r="G123" s="101"/>
      <c r="H123" s="101"/>
      <c r="I123" s="101"/>
      <c r="J123" s="101"/>
      <c r="K123" s="102" t="str">
        <f t="shared" si="2"/>
        <v>dam:1d6;   ;  treasure:</v>
      </c>
      <c r="O123" t="s">
        <v>729</v>
      </c>
      <c r="Q123" s="101"/>
    </row>
    <row r="124" spans="1:18" ht="12.75" customHeight="1">
      <c r="A124" s="101" t="s">
        <v>838</v>
      </c>
      <c r="B124" s="101" t="s">
        <v>710</v>
      </c>
      <c r="C124" s="101">
        <v>22</v>
      </c>
      <c r="D124" s="101">
        <v>14</v>
      </c>
      <c r="E124" s="101">
        <v>5</v>
      </c>
      <c r="F124" s="101"/>
      <c r="G124" s="101"/>
      <c r="H124" s="101"/>
      <c r="I124" s="101"/>
      <c r="J124" s="101"/>
      <c r="K124" s="102" t="str">
        <f t="shared" si="2"/>
        <v>dam:2d6;   12ft long with huge fangs. Skin wiorth up to 800 coins;  treasure:Lair</v>
      </c>
      <c r="O124" t="s">
        <v>719</v>
      </c>
      <c r="Q124" s="101" t="s">
        <v>726</v>
      </c>
      <c r="R124" t="s">
        <v>827</v>
      </c>
    </row>
    <row r="125" spans="1:18" ht="12.75" customHeight="1">
      <c r="A125" s="101" t="s">
        <v>838</v>
      </c>
      <c r="B125" s="101" t="s">
        <v>397</v>
      </c>
      <c r="C125">
        <v>30</v>
      </c>
      <c r="D125">
        <v>11</v>
      </c>
      <c r="E125">
        <v>7</v>
      </c>
      <c r="J125" s="101"/>
      <c r="K125" s="102" t="str">
        <f t="shared" si="2"/>
        <v>dam:2d6;   ST 30-50. Regen 2 ST per turn. Fire damage is permanent;  treasure:Lair x2</v>
      </c>
      <c r="O125" t="s">
        <v>719</v>
      </c>
      <c r="P125" t="s">
        <v>828</v>
      </c>
      <c r="Q125" s="101" t="s">
        <v>736</v>
      </c>
      <c r="R125" t="s">
        <v>829</v>
      </c>
    </row>
    <row r="126" spans="1:18" ht="12.75" customHeight="1">
      <c r="A126" s="101" t="s">
        <v>838</v>
      </c>
      <c r="B126" s="101" t="s">
        <v>664</v>
      </c>
      <c r="C126">
        <v>18</v>
      </c>
      <c r="D126" s="101">
        <v>12</v>
      </c>
      <c r="E126" s="101">
        <v>8</v>
      </c>
      <c r="F126" s="101"/>
      <c r="G126" s="101"/>
      <c r="H126" s="101"/>
      <c r="I126" s="101"/>
      <c r="J126" s="101"/>
      <c r="K126" s="102" t="str">
        <f t="shared" si="2"/>
        <v>dam:2d6;   lookup elementals in TFT;  treasure:</v>
      </c>
      <c r="O126" t="s">
        <v>719</v>
      </c>
      <c r="P126" t="s">
        <v>768</v>
      </c>
      <c r="R126" t="s">
        <v>839</v>
      </c>
    </row>
    <row r="127" spans="1:18" ht="12.75" customHeight="1">
      <c r="A127" s="101" t="s">
        <v>838</v>
      </c>
      <c r="B127" s="101" t="s">
        <v>711</v>
      </c>
      <c r="C127">
        <v>2</v>
      </c>
      <c r="D127">
        <v>10</v>
      </c>
      <c r="E127">
        <v>6</v>
      </c>
      <c r="J127" s="101"/>
      <c r="K127" s="102" t="str">
        <f t="shared" si="2"/>
        <v>dam:1d6;   ;  treasure:Lair</v>
      </c>
      <c r="O127" t="s">
        <v>729</v>
      </c>
      <c r="Q127" t="s">
        <v>726</v>
      </c>
    </row>
    <row r="128" spans="1:18" ht="12.75" customHeight="1">
      <c r="A128" s="101" t="s">
        <v>838</v>
      </c>
      <c r="B128" s="101" t="s">
        <v>712</v>
      </c>
      <c r="C128">
        <v>12</v>
      </c>
      <c r="D128" s="101">
        <v>10</v>
      </c>
      <c r="E128" s="101">
        <v>1</v>
      </c>
      <c r="F128" s="101"/>
      <c r="G128" s="101"/>
      <c r="H128" s="101"/>
      <c r="I128" s="101"/>
      <c r="J128" s="101"/>
      <c r="K128" s="102" t="str">
        <f t="shared" si="2"/>
        <v>dam:2d6;   If killed by a wight, the dead arisses in 1d6 hours as a wight. Found by graveyards or by their site of death;  treasure:Pouch</v>
      </c>
      <c r="O128" t="s">
        <v>719</v>
      </c>
      <c r="P128" t="s">
        <v>774</v>
      </c>
      <c r="Q128" s="101" t="s">
        <v>786</v>
      </c>
      <c r="R128" t="s">
        <v>830</v>
      </c>
    </row>
    <row r="129" spans="1:18" ht="12.75" customHeight="1">
      <c r="A129" s="101" t="s">
        <v>838</v>
      </c>
      <c r="B129" s="101" t="s">
        <v>713</v>
      </c>
      <c r="C129">
        <v>10</v>
      </c>
      <c r="D129">
        <v>14</v>
      </c>
      <c r="E129">
        <v>6</v>
      </c>
      <c r="J129" s="101"/>
      <c r="K129" s="102" t="str">
        <f t="shared" si="2"/>
        <v>dam:1d6+1;   Fur is worth 50 coin. Hobgoblins and orcs favor them as hunting dogs;  treasure:</v>
      </c>
      <c r="O129" t="s">
        <v>717</v>
      </c>
      <c r="R129" t="s">
        <v>831</v>
      </c>
    </row>
    <row r="130" spans="1:18" ht="12.75" customHeight="1">
      <c r="A130" s="101" t="s">
        <v>838</v>
      </c>
      <c r="B130" s="101" t="s">
        <v>714</v>
      </c>
      <c r="C130" s="101">
        <v>14</v>
      </c>
      <c r="D130" s="101">
        <v>12</v>
      </c>
      <c r="E130" s="101">
        <v>6</v>
      </c>
      <c r="F130" s="101"/>
      <c r="G130" s="101"/>
      <c r="H130" s="101"/>
      <c r="I130" s="101"/>
      <c r="J130" s="101"/>
      <c r="K130" s="102" t="str">
        <f t="shared" si="2"/>
        <v>dam:2d6;   Favored by goblins and other smal humanoids as mounts and traveling in packs. Attack small humanoid settlements and caravans which pass through their lands;  treasure:Lair</v>
      </c>
      <c r="O130" t="s">
        <v>719</v>
      </c>
      <c r="Q130" s="101" t="s">
        <v>726</v>
      </c>
      <c r="R130" t="s">
        <v>832</v>
      </c>
    </row>
    <row r="131" spans="1:18" ht="12.75" customHeight="1">
      <c r="A131" s="101" t="s">
        <v>838</v>
      </c>
      <c r="B131" s="101" t="s">
        <v>715</v>
      </c>
      <c r="C131">
        <v>16</v>
      </c>
      <c r="D131">
        <v>12</v>
      </c>
      <c r="E131">
        <v>8</v>
      </c>
      <c r="K131" s="102" t="str">
        <f t="shared" si="2"/>
        <v>dam:1d6;   Tail of wyvern is like a scorpions and does 1d6 damage and requires 3/ST or take additional +1d6 poison damage;  treasure:Lair x3</v>
      </c>
      <c r="O131" t="s">
        <v>729</v>
      </c>
      <c r="P131" t="s">
        <v>833</v>
      </c>
      <c r="Q131" t="s">
        <v>799</v>
      </c>
      <c r="R131" t="s">
        <v>834</v>
      </c>
    </row>
    <row r="132" spans="1:18" ht="12.75" customHeight="1">
      <c r="A132" s="101" t="s">
        <v>838</v>
      </c>
      <c r="B132" s="101" t="s">
        <v>716</v>
      </c>
      <c r="C132">
        <v>8</v>
      </c>
      <c r="D132">
        <v>6</v>
      </c>
      <c r="E132">
        <v>1</v>
      </c>
      <c r="K132" s="102" t="str">
        <f t="shared" si="2"/>
        <v>dam:1d6;   If killed by a zombie there is a 3 in 6 chance of turing into a zombie daily unless body is burned;  treasure:Pocket</v>
      </c>
      <c r="O132" t="s">
        <v>729</v>
      </c>
      <c r="P132" t="s">
        <v>742</v>
      </c>
      <c r="Q132" t="s">
        <v>776</v>
      </c>
      <c r="R132" t="s">
        <v>835</v>
      </c>
    </row>
    <row r="133" spans="1:18" ht="12.75" customHeight="1">
      <c r="A133" s="101"/>
      <c r="B133" s="100"/>
      <c r="C133" s="100"/>
      <c r="D133" s="100"/>
      <c r="E133" s="100"/>
      <c r="F133" s="100"/>
      <c r="G133" s="100"/>
      <c r="H133" s="100"/>
      <c r="I133" s="100"/>
      <c r="J133" s="100"/>
      <c r="K133" s="102"/>
    </row>
    <row r="134" spans="1:18" ht="12.75" customHeight="1">
      <c r="A134" s="101"/>
      <c r="B134" s="100"/>
      <c r="C134" s="100"/>
      <c r="D134" s="100"/>
      <c r="E134" s="100"/>
      <c r="F134" s="100"/>
      <c r="G134" s="100"/>
      <c r="H134" s="100"/>
      <c r="I134" s="100"/>
      <c r="J134" s="100"/>
      <c r="K134" s="102"/>
    </row>
    <row r="135" spans="1:18" ht="12.75" customHeight="1">
      <c r="A135" s="101"/>
      <c r="B135" s="101"/>
      <c r="K135" s="102"/>
      <c r="Q135" s="101"/>
    </row>
    <row r="136" spans="1:18" ht="12.75" customHeight="1">
      <c r="A136" s="101"/>
      <c r="B136" s="101"/>
      <c r="D136" s="101"/>
      <c r="E136" s="101"/>
      <c r="F136" s="101"/>
      <c r="G136" s="101"/>
      <c r="H136" s="101"/>
      <c r="I136" s="101"/>
      <c r="J136" s="101"/>
      <c r="K136" s="102"/>
    </row>
    <row r="137" spans="1:18" ht="12.75" customHeight="1">
      <c r="A137" s="101"/>
      <c r="B137" s="101"/>
      <c r="K137" s="102"/>
    </row>
    <row r="138" spans="1:18" ht="12.75" customHeight="1">
      <c r="A138" s="101"/>
      <c r="B138" s="101"/>
      <c r="K138" s="102"/>
    </row>
    <row r="139" spans="1:18" ht="12.75" customHeight="1">
      <c r="A139" s="101"/>
      <c r="B139" s="101"/>
      <c r="K139" s="102"/>
    </row>
    <row r="140" spans="1:18" ht="12.75" customHeight="1">
      <c r="K140" s="102"/>
    </row>
    <row r="141" spans="1:18" ht="12.75" customHeight="1">
      <c r="K141" s="102"/>
    </row>
  </sheetData>
  <sortState ref="A2:R141">
    <sortCondition ref="A2:A141"/>
    <sortCondition ref="B2:B141"/>
  </sortState>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1:I109"/>
  <sheetViews>
    <sheetView workbookViewId="0">
      <selection activeCell="E110" sqref="E110"/>
    </sheetView>
  </sheetViews>
  <sheetFormatPr defaultColWidth="17.140625" defaultRowHeight="12.75" customHeight="1"/>
  <cols>
    <col min="1" max="1" width="5" customWidth="1"/>
    <col min="2" max="2" width="10.42578125" customWidth="1"/>
    <col min="3" max="3" width="11" customWidth="1"/>
    <col min="4" max="4" width="5.5703125" customWidth="1"/>
    <col min="5" max="5" width="17.28515625" customWidth="1"/>
    <col min="6" max="6" width="5.42578125" customWidth="1"/>
    <col min="7" max="7" width="19.28515625" customWidth="1"/>
  </cols>
  <sheetData>
    <row r="1" spans="2:9" ht="12.75" customHeight="1">
      <c r="B1" s="236"/>
      <c r="C1" s="236"/>
      <c r="D1" t="s">
        <v>82</v>
      </c>
      <c r="E1" s="18" t="s">
        <v>83</v>
      </c>
      <c r="F1" s="18" t="s">
        <v>58</v>
      </c>
      <c r="G1" s="18" t="s">
        <v>84</v>
      </c>
      <c r="H1" s="18" t="s">
        <v>85</v>
      </c>
      <c r="I1" s="13" t="s">
        <v>60</v>
      </c>
    </row>
    <row r="2" spans="2:9" ht="12.75" customHeight="1">
      <c r="B2" s="236" t="str">
        <f t="shared" ref="B2:B33" si="0">CONCATENATE(D2,",",E2)</f>
        <v>-,-</v>
      </c>
      <c r="C2" s="236"/>
      <c r="D2" t="s">
        <v>86</v>
      </c>
      <c r="E2" s="18" t="s">
        <v>86</v>
      </c>
      <c r="F2" s="18"/>
      <c r="G2" s="18"/>
      <c r="H2" s="18"/>
      <c r="I2" s="13"/>
    </row>
    <row r="3" spans="2:9" ht="12.75" customHeight="1">
      <c r="B3" s="236" t="str">
        <f t="shared" si="0"/>
        <v>7,Axe / Mace</v>
      </c>
      <c r="C3" s="236"/>
      <c r="D3">
        <v>7</v>
      </c>
      <c r="E3" s="10" t="s">
        <v>87</v>
      </c>
      <c r="F3" s="10">
        <v>2</v>
      </c>
      <c r="G3" s="10"/>
      <c r="H3" s="10"/>
      <c r="I3" s="13"/>
    </row>
    <row r="4" spans="2:9" ht="12.75" customHeight="1">
      <c r="B4" s="236" t="str">
        <f t="shared" si="0"/>
        <v>7,Bow</v>
      </c>
      <c r="C4" s="236"/>
      <c r="D4">
        <v>7</v>
      </c>
      <c r="E4" s="10" t="s">
        <v>89</v>
      </c>
      <c r="F4" s="10">
        <v>2</v>
      </c>
      <c r="G4" s="10" t="s">
        <v>90</v>
      </c>
      <c r="H4" s="10"/>
      <c r="I4" s="13"/>
    </row>
    <row r="5" spans="2:9" ht="12.75" customHeight="1">
      <c r="B5" s="236" t="str">
        <f t="shared" si="0"/>
        <v>7,Crossbow</v>
      </c>
      <c r="C5" s="236"/>
      <c r="D5">
        <v>7</v>
      </c>
      <c r="E5" s="10" t="s">
        <v>91</v>
      </c>
      <c r="F5" s="10">
        <v>1</v>
      </c>
      <c r="G5" s="10"/>
      <c r="H5" s="10"/>
      <c r="I5" s="13"/>
    </row>
    <row r="6" spans="2:9" ht="12.75" customHeight="1">
      <c r="B6" s="236" t="str">
        <f t="shared" si="0"/>
        <v>7,Knife</v>
      </c>
      <c r="C6" s="236"/>
      <c r="D6">
        <v>7</v>
      </c>
      <c r="E6" s="10" t="s">
        <v>92</v>
      </c>
      <c r="F6" s="10">
        <v>1</v>
      </c>
      <c r="G6" s="10"/>
      <c r="H6" s="10"/>
      <c r="I6" s="13"/>
    </row>
    <row r="7" spans="2:9" ht="12.75" customHeight="1">
      <c r="B7" s="236" t="str">
        <f t="shared" si="0"/>
        <v>7,Pole Weapons</v>
      </c>
      <c r="C7" s="236"/>
      <c r="D7">
        <v>7</v>
      </c>
      <c r="E7" s="10" t="s">
        <v>93</v>
      </c>
      <c r="F7" s="10">
        <v>2</v>
      </c>
      <c r="G7" s="10" t="s">
        <v>94</v>
      </c>
      <c r="H7" s="10"/>
      <c r="I7" s="13"/>
    </row>
    <row r="8" spans="2:9" ht="12.75" customHeight="1">
      <c r="B8" s="236" t="str">
        <f t="shared" si="0"/>
        <v>7,Shield</v>
      </c>
      <c r="C8" s="236"/>
      <c r="D8">
        <v>7</v>
      </c>
      <c r="E8" s="10" t="s">
        <v>95</v>
      </c>
      <c r="F8" s="10">
        <v>1</v>
      </c>
      <c r="G8" s="10"/>
      <c r="H8" s="10"/>
      <c r="I8" s="13"/>
    </row>
    <row r="9" spans="2:9" ht="12.75" customHeight="1">
      <c r="B9" s="236" t="str">
        <f t="shared" si="0"/>
        <v>7,Sword</v>
      </c>
      <c r="C9" s="236"/>
      <c r="D9">
        <v>7</v>
      </c>
      <c r="E9" s="10" t="s">
        <v>96</v>
      </c>
      <c r="F9" s="10">
        <v>2</v>
      </c>
      <c r="G9" s="10" t="s">
        <v>97</v>
      </c>
      <c r="H9" s="10"/>
      <c r="I9" s="13"/>
    </row>
    <row r="10" spans="2:9" ht="12.75" customHeight="1">
      <c r="B10" s="236" t="str">
        <f t="shared" si="0"/>
        <v>8,BlowGun</v>
      </c>
      <c r="C10" s="236"/>
      <c r="D10">
        <v>8</v>
      </c>
      <c r="E10" s="10" t="s">
        <v>98</v>
      </c>
      <c r="F10" s="10">
        <v>1</v>
      </c>
      <c r="G10" s="10"/>
      <c r="H10" s="10"/>
      <c r="I10" s="13"/>
    </row>
    <row r="11" spans="2:9" ht="12.75" customHeight="1">
      <c r="B11" s="236" t="str">
        <f t="shared" si="0"/>
        <v>8,Boating</v>
      </c>
      <c r="C11" s="236"/>
      <c r="D11">
        <v>8</v>
      </c>
      <c r="E11" s="10" t="s">
        <v>99</v>
      </c>
      <c r="F11" s="10">
        <v>1</v>
      </c>
      <c r="G11" s="10"/>
      <c r="H11" s="10"/>
      <c r="I11" s="13"/>
    </row>
    <row r="12" spans="2:9" ht="12.75" customHeight="1">
      <c r="B12" s="236" t="str">
        <f t="shared" si="0"/>
        <v>8,Bola</v>
      </c>
      <c r="C12" s="236"/>
      <c r="D12">
        <v>8</v>
      </c>
      <c r="E12" s="10" t="s">
        <v>100</v>
      </c>
      <c r="F12" s="10">
        <v>1</v>
      </c>
      <c r="G12" s="10" t="s">
        <v>101</v>
      </c>
      <c r="H12" s="10" t="s">
        <v>102</v>
      </c>
      <c r="I12" s="13"/>
    </row>
    <row r="13" spans="2:9" ht="12.75" customHeight="1">
      <c r="B13" s="236" t="str">
        <f t="shared" si="0"/>
        <v>8,Boomerang</v>
      </c>
      <c r="C13" s="236"/>
      <c r="D13">
        <v>8</v>
      </c>
      <c r="E13" s="10" t="s">
        <v>103</v>
      </c>
      <c r="F13" s="10">
        <v>1</v>
      </c>
      <c r="G13" s="10" t="s">
        <v>104</v>
      </c>
      <c r="H13" s="10" t="s">
        <v>102</v>
      </c>
      <c r="I13" s="13"/>
    </row>
    <row r="14" spans="2:9" ht="12.75" customHeight="1">
      <c r="B14" s="236" t="str">
        <f t="shared" si="0"/>
        <v>8,Cestus</v>
      </c>
      <c r="C14" s="236"/>
      <c r="D14">
        <v>8</v>
      </c>
      <c r="E14" s="10" t="s">
        <v>105</v>
      </c>
      <c r="F14" s="10">
        <v>1</v>
      </c>
      <c r="G14" s="10"/>
      <c r="H14" s="10"/>
      <c r="I14" s="13"/>
    </row>
    <row r="15" spans="2:9" ht="12.75" customHeight="1">
      <c r="B15" s="236" t="str">
        <f t="shared" si="0"/>
        <v>8,Farming</v>
      </c>
      <c r="C15" s="236"/>
      <c r="D15">
        <v>8</v>
      </c>
      <c r="E15" s="10" t="s">
        <v>106</v>
      </c>
      <c r="F15" s="10">
        <v>1</v>
      </c>
      <c r="G15" s="10"/>
      <c r="H15" s="10"/>
      <c r="I15" s="13"/>
    </row>
    <row r="16" spans="2:9" ht="12.75" customHeight="1">
      <c r="B16" s="236" t="str">
        <f t="shared" si="0"/>
        <v>8,Guns</v>
      </c>
      <c r="C16" s="236"/>
      <c r="D16">
        <v>8</v>
      </c>
      <c r="E16" s="10" t="s">
        <v>107</v>
      </c>
      <c r="F16" s="10">
        <v>2</v>
      </c>
      <c r="G16" s="10" t="s">
        <v>108</v>
      </c>
      <c r="H16" s="10"/>
      <c r="I16" s="13"/>
    </row>
    <row r="17" spans="2:9" ht="12.75" customHeight="1">
      <c r="B17" s="236" t="str">
        <f t="shared" si="0"/>
        <v>8,Horsemanship</v>
      </c>
      <c r="C17" s="236"/>
      <c r="D17">
        <v>8</v>
      </c>
      <c r="E17" s="10" t="s">
        <v>109</v>
      </c>
      <c r="F17" s="10">
        <v>1</v>
      </c>
      <c r="G17" s="10"/>
      <c r="H17" s="10"/>
      <c r="I17" s="13"/>
    </row>
    <row r="18" spans="2:9" ht="12.75" customHeight="1">
      <c r="B18" s="236" t="str">
        <f t="shared" si="0"/>
        <v>8,Lasso</v>
      </c>
      <c r="C18" s="236"/>
      <c r="D18">
        <v>8</v>
      </c>
      <c r="E18" s="10" t="s">
        <v>110</v>
      </c>
      <c r="F18" s="10">
        <v>2</v>
      </c>
      <c r="G18" s="10"/>
      <c r="H18" s="10"/>
      <c r="I18" s="13"/>
    </row>
    <row r="19" spans="2:9" ht="12.75" customHeight="1">
      <c r="B19" s="236" t="str">
        <f t="shared" si="0"/>
        <v>8,Literacy</v>
      </c>
      <c r="C19" s="236"/>
      <c r="D19">
        <v>8</v>
      </c>
      <c r="E19" s="10" t="s">
        <v>111</v>
      </c>
      <c r="F19" s="10">
        <v>1</v>
      </c>
      <c r="G19" s="10"/>
      <c r="H19" s="10"/>
      <c r="I19" s="13"/>
    </row>
    <row r="20" spans="2:9" ht="12.75" customHeight="1">
      <c r="B20" s="236" t="str">
        <f t="shared" si="0"/>
        <v>8,Naginata</v>
      </c>
      <c r="C20" s="236"/>
      <c r="D20">
        <v>8</v>
      </c>
      <c r="E20" s="10" t="s">
        <v>112</v>
      </c>
      <c r="F20" s="10">
        <v>1</v>
      </c>
      <c r="G20" s="10" t="s">
        <v>104</v>
      </c>
      <c r="H20" s="10" t="s">
        <v>113</v>
      </c>
      <c r="I20" s="13"/>
    </row>
    <row r="21" spans="2:9" ht="12.75" customHeight="1">
      <c r="B21" s="236" t="str">
        <f t="shared" si="0"/>
        <v>8,Net &amp; Trident</v>
      </c>
      <c r="C21" s="236"/>
      <c r="D21">
        <v>8</v>
      </c>
      <c r="E21" s="10" t="s">
        <v>114</v>
      </c>
      <c r="F21" s="10">
        <v>1</v>
      </c>
      <c r="G21" s="10" t="s">
        <v>104</v>
      </c>
      <c r="H21" s="10" t="s">
        <v>115</v>
      </c>
      <c r="I21" s="13"/>
    </row>
    <row r="22" spans="2:9" ht="12.75" customHeight="1">
      <c r="B22" s="236" t="str">
        <f t="shared" si="0"/>
        <v>8,Nunchuks</v>
      </c>
      <c r="C22" s="236"/>
      <c r="D22">
        <v>8</v>
      </c>
      <c r="E22" s="10" t="s">
        <v>116</v>
      </c>
      <c r="F22" s="10">
        <v>1</v>
      </c>
      <c r="G22" s="10"/>
      <c r="H22" s="10"/>
      <c r="I22" s="13"/>
    </row>
    <row r="23" spans="2:9" ht="12.75" customHeight="1">
      <c r="B23" s="236" t="str">
        <f t="shared" si="0"/>
        <v>8,Quarterstaff</v>
      </c>
      <c r="C23" s="236"/>
      <c r="D23">
        <v>8</v>
      </c>
      <c r="E23" s="10" t="s">
        <v>117</v>
      </c>
      <c r="F23" s="10">
        <v>1</v>
      </c>
      <c r="G23" s="10"/>
      <c r="H23" s="10"/>
      <c r="I23" s="13"/>
    </row>
    <row r="24" spans="2:9" ht="12.75" customHeight="1">
      <c r="B24" s="236" t="str">
        <f t="shared" si="0"/>
        <v>8,Running</v>
      </c>
      <c r="C24" s="236"/>
      <c r="D24">
        <v>8</v>
      </c>
      <c r="E24" s="10" t="s">
        <v>118</v>
      </c>
      <c r="F24" s="10">
        <v>2</v>
      </c>
      <c r="G24" s="10"/>
      <c r="H24" s="10"/>
      <c r="I24" s="13"/>
    </row>
    <row r="25" spans="2:9" ht="12.75" customHeight="1">
      <c r="B25" s="236" t="str">
        <f t="shared" si="0"/>
        <v>8,Seamanship</v>
      </c>
      <c r="C25" s="236"/>
      <c r="D25">
        <v>8</v>
      </c>
      <c r="E25" s="10" t="s">
        <v>119</v>
      </c>
      <c r="F25" s="10">
        <v>1</v>
      </c>
      <c r="G25" s="10"/>
      <c r="H25" s="10"/>
      <c r="I25" s="13"/>
    </row>
    <row r="26" spans="2:9" ht="12.75" customHeight="1">
      <c r="B26" s="236" t="str">
        <f t="shared" si="0"/>
        <v>8,Sex Appeal</v>
      </c>
      <c r="C26" s="236"/>
      <c r="D26">
        <v>8</v>
      </c>
      <c r="E26" s="10" t="s">
        <v>120</v>
      </c>
      <c r="F26" s="10">
        <v>1</v>
      </c>
      <c r="G26" s="10"/>
      <c r="H26" s="10"/>
      <c r="I26" s="13"/>
    </row>
    <row r="27" spans="2:9" ht="12.75" customHeight="1">
      <c r="B27" s="236" t="str">
        <f t="shared" si="0"/>
        <v>8,Sha-Ken</v>
      </c>
      <c r="C27" s="236"/>
      <c r="D27">
        <v>8</v>
      </c>
      <c r="E27" s="10" t="s">
        <v>121</v>
      </c>
      <c r="F27" s="10">
        <v>1</v>
      </c>
      <c r="G27" s="10" t="s">
        <v>104</v>
      </c>
      <c r="H27" s="10" t="s">
        <v>102</v>
      </c>
      <c r="I27" s="13"/>
    </row>
    <row r="28" spans="2:9" ht="12.75" customHeight="1">
      <c r="B28" s="236" t="str">
        <f t="shared" si="0"/>
        <v>8,Spear-Thrower</v>
      </c>
      <c r="C28" s="236"/>
      <c r="D28">
        <v>8</v>
      </c>
      <c r="E28" s="10" t="s">
        <v>122</v>
      </c>
      <c r="F28" s="10">
        <v>1</v>
      </c>
      <c r="G28" s="10" t="s">
        <v>104</v>
      </c>
      <c r="H28" s="10" t="s">
        <v>123</v>
      </c>
      <c r="I28" s="13" t="s">
        <v>124</v>
      </c>
    </row>
    <row r="29" spans="2:9" ht="12.75" customHeight="1">
      <c r="B29" s="236" t="str">
        <f t="shared" si="0"/>
        <v>8,Thrown Weapons</v>
      </c>
      <c r="C29" s="236"/>
      <c r="D29">
        <v>8</v>
      </c>
      <c r="E29" s="10" t="s">
        <v>125</v>
      </c>
      <c r="F29" s="10">
        <v>2</v>
      </c>
      <c r="G29" s="10"/>
      <c r="H29" s="10"/>
      <c r="I29" s="13" t="s">
        <v>126</v>
      </c>
    </row>
    <row r="30" spans="2:9" ht="12.75" customHeight="1">
      <c r="B30" s="236" t="str">
        <f t="shared" si="0"/>
        <v>8,Whip</v>
      </c>
      <c r="C30" s="236"/>
      <c r="D30">
        <v>8</v>
      </c>
      <c r="E30" s="10" t="s">
        <v>127</v>
      </c>
      <c r="F30" s="10">
        <v>1</v>
      </c>
      <c r="G30" s="10"/>
      <c r="H30" s="10"/>
      <c r="I30" s="13"/>
    </row>
    <row r="31" spans="2:9" ht="12.75" customHeight="1">
      <c r="B31" s="236" t="str">
        <f t="shared" si="0"/>
        <v>8,Swimming</v>
      </c>
      <c r="C31" s="236"/>
      <c r="D31">
        <v>8</v>
      </c>
      <c r="E31" s="10" t="s">
        <v>128</v>
      </c>
      <c r="F31" s="10">
        <v>1</v>
      </c>
      <c r="G31" s="10"/>
      <c r="H31" s="10"/>
      <c r="I31" s="13"/>
    </row>
    <row r="32" spans="2:9" ht="12.75" customHeight="1">
      <c r="B32" s="236" t="str">
        <f t="shared" si="0"/>
        <v>9,Acute Hearing</v>
      </c>
      <c r="C32" s="236"/>
      <c r="D32">
        <v>9</v>
      </c>
      <c r="E32" s="14" t="s">
        <v>129</v>
      </c>
      <c r="F32" s="14">
        <v>3</v>
      </c>
      <c r="G32" s="14"/>
      <c r="H32" s="14"/>
      <c r="I32" s="13"/>
    </row>
    <row r="33" spans="2:9" ht="12.75" customHeight="1">
      <c r="B33" s="236" t="str">
        <f t="shared" si="0"/>
        <v>9,Alertness</v>
      </c>
      <c r="C33" s="236"/>
      <c r="D33">
        <v>9</v>
      </c>
      <c r="E33" s="14" t="s">
        <v>130</v>
      </c>
      <c r="F33" s="14">
        <v>2</v>
      </c>
      <c r="G33" s="14"/>
      <c r="H33" s="14"/>
      <c r="I33" s="13" t="s">
        <v>131</v>
      </c>
    </row>
    <row r="34" spans="2:9" ht="12.75" customHeight="1">
      <c r="B34" s="236" t="str">
        <f t="shared" ref="B34:B65" si="1">CONCATENATE(D34,",",E34)</f>
        <v>9,Animal Handler</v>
      </c>
      <c r="C34" s="236"/>
      <c r="D34">
        <v>9</v>
      </c>
      <c r="E34" s="14" t="s">
        <v>132</v>
      </c>
      <c r="F34" s="14">
        <v>2</v>
      </c>
      <c r="G34" s="14"/>
      <c r="H34" s="14"/>
      <c r="I34" s="13"/>
    </row>
    <row r="35" spans="2:9" ht="12.75" customHeight="1">
      <c r="B35" s="236" t="str">
        <f t="shared" si="1"/>
        <v>9,Bard</v>
      </c>
      <c r="C35" s="236"/>
      <c r="D35">
        <v>9</v>
      </c>
      <c r="E35" s="14" t="s">
        <v>133</v>
      </c>
      <c r="F35" s="14">
        <v>2</v>
      </c>
      <c r="G35" s="14"/>
      <c r="H35" s="14"/>
      <c r="I35" s="13"/>
    </row>
    <row r="36" spans="2:9" ht="12.75" customHeight="1">
      <c r="B36" s="236" t="str">
        <f t="shared" si="1"/>
        <v>9,Charisma</v>
      </c>
      <c r="C36" s="236"/>
      <c r="D36">
        <v>9</v>
      </c>
      <c r="E36" s="14" t="s">
        <v>134</v>
      </c>
      <c r="F36" s="14">
        <v>2</v>
      </c>
      <c r="G36" s="14"/>
      <c r="H36" s="14"/>
      <c r="I36" s="13"/>
    </row>
    <row r="37" spans="2:9" ht="12.75" customHeight="1">
      <c r="B37" s="236" t="str">
        <f t="shared" si="1"/>
        <v>9,Climbing</v>
      </c>
      <c r="C37" s="236"/>
      <c r="D37">
        <v>9</v>
      </c>
      <c r="E37" s="14" t="s">
        <v>135</v>
      </c>
      <c r="F37" s="14">
        <v>1</v>
      </c>
      <c r="G37" s="14"/>
      <c r="H37" s="14"/>
      <c r="I37" s="13"/>
    </row>
    <row r="38" spans="2:9" ht="12.75" customHeight="1">
      <c r="B38" s="236" t="str">
        <f t="shared" si="1"/>
        <v>9,Detect Traps</v>
      </c>
      <c r="C38" s="236"/>
      <c r="D38">
        <v>9</v>
      </c>
      <c r="E38" s="14" t="s">
        <v>136</v>
      </c>
      <c r="F38" s="14">
        <v>2</v>
      </c>
      <c r="G38" s="14"/>
      <c r="H38" s="14"/>
      <c r="I38" s="13" t="s">
        <v>137</v>
      </c>
    </row>
    <row r="39" spans="2:9" ht="12.75" customHeight="1">
      <c r="B39" s="236" t="str">
        <f t="shared" si="1"/>
        <v>9,Diving</v>
      </c>
      <c r="C39" s="236"/>
      <c r="D39">
        <v>9</v>
      </c>
      <c r="E39" s="14" t="s">
        <v>138</v>
      </c>
      <c r="F39" s="14">
        <v>1</v>
      </c>
      <c r="G39" s="14" t="s">
        <v>104</v>
      </c>
      <c r="H39" s="14" t="s">
        <v>139</v>
      </c>
      <c r="I39" s="13"/>
    </row>
    <row r="40" spans="2:9" ht="12.75" customHeight="1">
      <c r="B40" s="236" t="str">
        <f t="shared" si="1"/>
        <v>9,Driver</v>
      </c>
      <c r="C40" s="236"/>
      <c r="D40">
        <v>9</v>
      </c>
      <c r="E40" s="14" t="s">
        <v>140</v>
      </c>
      <c r="F40" s="14">
        <v>1</v>
      </c>
      <c r="G40" s="14"/>
      <c r="H40" s="14"/>
      <c r="I40" s="13"/>
    </row>
    <row r="41" spans="2:9" ht="12.75" customHeight="1">
      <c r="B41" s="236" t="str">
        <f t="shared" si="1"/>
        <v>9,Missile Weapons</v>
      </c>
      <c r="C41" s="236"/>
      <c r="D41">
        <v>9</v>
      </c>
      <c r="E41" s="14" t="s">
        <v>141</v>
      </c>
      <c r="F41" s="14">
        <v>3</v>
      </c>
      <c r="G41" s="14"/>
      <c r="H41" s="14"/>
      <c r="I41" s="13"/>
    </row>
    <row r="42" spans="2:9" ht="12.75" customHeight="1">
      <c r="B42" s="236" t="str">
        <f t="shared" si="1"/>
        <v>9,Priest</v>
      </c>
      <c r="C42" s="236"/>
      <c r="D42">
        <v>9</v>
      </c>
      <c r="E42" s="14" t="s">
        <v>142</v>
      </c>
      <c r="F42" s="14">
        <v>2</v>
      </c>
      <c r="G42" s="14"/>
      <c r="H42" s="14"/>
      <c r="I42" s="13"/>
    </row>
    <row r="43" spans="2:9" ht="12.75" customHeight="1">
      <c r="B43" s="236" t="str">
        <f t="shared" si="1"/>
        <v>9,Recognize Value</v>
      </c>
      <c r="C43" s="236"/>
      <c r="D43">
        <v>9</v>
      </c>
      <c r="E43" s="14" t="s">
        <v>143</v>
      </c>
      <c r="F43" s="14">
        <v>1</v>
      </c>
      <c r="G43" s="14"/>
      <c r="H43" s="14"/>
      <c r="I43" s="13"/>
    </row>
    <row r="44" spans="2:9" ht="12.75" customHeight="1">
      <c r="B44" s="236" t="str">
        <f t="shared" si="1"/>
        <v>9,Silent Movement</v>
      </c>
      <c r="C44" s="236"/>
      <c r="D44">
        <v>9</v>
      </c>
      <c r="E44" s="14" t="s">
        <v>144</v>
      </c>
      <c r="F44" s="14">
        <v>2</v>
      </c>
      <c r="G44" s="14"/>
      <c r="H44" s="14"/>
      <c r="I44" s="13" t="s">
        <v>145</v>
      </c>
    </row>
    <row r="45" spans="2:9" ht="12.75" customHeight="1">
      <c r="B45" s="236" t="str">
        <f t="shared" si="1"/>
        <v>9,Warrior</v>
      </c>
      <c r="C45" s="236"/>
      <c r="D45">
        <v>9</v>
      </c>
      <c r="E45" s="14" t="s">
        <v>146</v>
      </c>
      <c r="F45" s="14">
        <v>2</v>
      </c>
      <c r="G45" s="14" t="s">
        <v>104</v>
      </c>
      <c r="H45" s="14" t="s">
        <v>147</v>
      </c>
      <c r="I45" s="13" t="s">
        <v>148</v>
      </c>
    </row>
    <row r="46" spans="2:9" ht="12.75" customHeight="1">
      <c r="B46" s="236" t="str">
        <f t="shared" si="1"/>
        <v>9,Veteran</v>
      </c>
      <c r="C46" s="236"/>
      <c r="D46">
        <v>9</v>
      </c>
      <c r="E46" s="14" t="s">
        <v>149</v>
      </c>
      <c r="F46" s="14">
        <v>3</v>
      </c>
      <c r="G46" s="14" t="s">
        <v>150</v>
      </c>
      <c r="H46" s="14" t="s">
        <v>151</v>
      </c>
      <c r="I46" s="13" t="s">
        <v>152</v>
      </c>
    </row>
    <row r="47" spans="2:9" ht="12.75" customHeight="1">
      <c r="B47" s="236" t="str">
        <f t="shared" si="1"/>
        <v>9,Mundane 1</v>
      </c>
      <c r="C47" s="236"/>
      <c r="D47">
        <v>9</v>
      </c>
      <c r="E47" s="14" t="s">
        <v>153</v>
      </c>
      <c r="F47" s="14">
        <v>1</v>
      </c>
      <c r="G47" s="235" t="s">
        <v>154</v>
      </c>
      <c r="H47" s="235"/>
      <c r="I47" s="13"/>
    </row>
    <row r="48" spans="2:9" ht="12.75" customHeight="1">
      <c r="B48" s="236" t="str">
        <f t="shared" si="1"/>
        <v>9,Mundane 2</v>
      </c>
      <c r="C48" s="236"/>
      <c r="D48">
        <v>9</v>
      </c>
      <c r="E48" s="14" t="s">
        <v>155</v>
      </c>
      <c r="F48" s="14">
        <v>2</v>
      </c>
      <c r="G48" s="235" t="s">
        <v>156</v>
      </c>
      <c r="H48" s="235"/>
      <c r="I48" s="13"/>
    </row>
    <row r="49" spans="2:9" ht="12.75" customHeight="1">
      <c r="B49" s="236" t="str">
        <f t="shared" si="1"/>
        <v>9,Mundane 3</v>
      </c>
      <c r="C49" s="236"/>
      <c r="D49">
        <v>9</v>
      </c>
      <c r="E49" s="14" t="s">
        <v>157</v>
      </c>
      <c r="F49" s="14">
        <v>3</v>
      </c>
      <c r="G49" s="14" t="s">
        <v>158</v>
      </c>
      <c r="H49" s="14"/>
      <c r="I49" s="13"/>
    </row>
    <row r="50" spans="2:9" ht="12.75" customHeight="1">
      <c r="B50" s="236" t="str">
        <f t="shared" si="1"/>
        <v>10,Acrobatics</v>
      </c>
      <c r="C50" s="236"/>
      <c r="D50">
        <v>10</v>
      </c>
      <c r="E50" s="14" t="s">
        <v>159</v>
      </c>
      <c r="F50" s="14">
        <v>3</v>
      </c>
      <c r="G50" s="14" t="s">
        <v>150</v>
      </c>
      <c r="H50" s="14" t="s">
        <v>160</v>
      </c>
      <c r="I50" s="13"/>
    </row>
    <row r="51" spans="2:9" ht="12.75" customHeight="1">
      <c r="B51" s="236" t="str">
        <f t="shared" si="1"/>
        <v>10,Armourer</v>
      </c>
      <c r="C51" s="236"/>
      <c r="D51">
        <v>10</v>
      </c>
      <c r="E51" s="14" t="s">
        <v>161</v>
      </c>
      <c r="F51" s="14">
        <v>2</v>
      </c>
      <c r="G51" s="14"/>
      <c r="H51" s="14"/>
      <c r="I51" s="13"/>
    </row>
    <row r="52" spans="2:9" ht="12.75" customHeight="1">
      <c r="B52" s="236" t="str">
        <f t="shared" si="1"/>
        <v>10,Business Sense</v>
      </c>
      <c r="C52" s="236"/>
      <c r="D52">
        <v>10</v>
      </c>
      <c r="E52" s="14" t="s">
        <v>162</v>
      </c>
      <c r="F52" s="14">
        <v>2</v>
      </c>
      <c r="G52" s="14"/>
      <c r="H52" s="14"/>
      <c r="I52" s="13"/>
    </row>
    <row r="53" spans="2:9" ht="12.75" customHeight="1">
      <c r="B53" s="236" t="str">
        <f t="shared" si="1"/>
        <v>10,Diplomacy</v>
      </c>
      <c r="C53" s="236"/>
      <c r="D53">
        <v>10</v>
      </c>
      <c r="E53" s="14" t="s">
        <v>163</v>
      </c>
      <c r="F53" s="14">
        <v>1</v>
      </c>
      <c r="G53" s="14"/>
      <c r="H53" s="14"/>
      <c r="I53" s="13"/>
    </row>
    <row r="54" spans="2:9" ht="12.75" customHeight="1">
      <c r="B54" s="236" t="str">
        <f t="shared" si="1"/>
        <v>10,Engineer</v>
      </c>
      <c r="C54" s="236"/>
      <c r="D54">
        <v>10</v>
      </c>
      <c r="E54" s="14" t="s">
        <v>164</v>
      </c>
      <c r="F54" s="14">
        <v>2</v>
      </c>
      <c r="G54" s="14"/>
      <c r="H54" s="14"/>
      <c r="I54" s="13"/>
    </row>
    <row r="55" spans="2:9" ht="12.75" customHeight="1">
      <c r="B55" s="236" t="str">
        <f t="shared" si="1"/>
        <v>10,Fencing</v>
      </c>
      <c r="C55" s="236"/>
      <c r="D55">
        <v>10</v>
      </c>
      <c r="E55" s="14" t="s">
        <v>165</v>
      </c>
      <c r="F55" s="14">
        <v>3</v>
      </c>
      <c r="G55" s="14" t="s">
        <v>150</v>
      </c>
      <c r="H55" s="14" t="s">
        <v>166</v>
      </c>
      <c r="I55" s="13" t="s">
        <v>167</v>
      </c>
    </row>
    <row r="56" spans="2:9" ht="12.75" customHeight="1">
      <c r="B56" s="236" t="str">
        <f t="shared" si="1"/>
        <v>10,Mimic</v>
      </c>
      <c r="C56" s="236"/>
      <c r="D56">
        <v>10</v>
      </c>
      <c r="E56" s="14" t="s">
        <v>168</v>
      </c>
      <c r="F56" s="14">
        <v>2</v>
      </c>
      <c r="G56" s="14"/>
      <c r="H56" s="14"/>
      <c r="I56" s="13"/>
    </row>
    <row r="57" spans="2:9" ht="12.75" customHeight="1">
      <c r="B57" s="236" t="str">
        <f t="shared" si="1"/>
        <v>10,Naturalist</v>
      </c>
      <c r="C57" s="236"/>
      <c r="D57">
        <v>10</v>
      </c>
      <c r="E57" s="14" t="s">
        <v>169</v>
      </c>
      <c r="F57" s="14">
        <v>2</v>
      </c>
      <c r="G57" s="14"/>
      <c r="H57" s="14"/>
      <c r="I57" s="13"/>
    </row>
    <row r="58" spans="2:9" ht="12.75" customHeight="1">
      <c r="B58" s="236" t="str">
        <f t="shared" si="1"/>
        <v>10,New Followers</v>
      </c>
      <c r="C58" s="236"/>
      <c r="D58">
        <v>10</v>
      </c>
      <c r="E58" s="14" t="s">
        <v>170</v>
      </c>
      <c r="F58" s="14">
        <v>2</v>
      </c>
      <c r="G58" s="14" t="s">
        <v>150</v>
      </c>
      <c r="H58" s="14" t="s">
        <v>171</v>
      </c>
      <c r="I58" s="13"/>
    </row>
    <row r="59" spans="2:9" ht="12.75" customHeight="1">
      <c r="B59" s="236" t="str">
        <f t="shared" si="1"/>
        <v>10,Remove Traps</v>
      </c>
      <c r="C59" s="236"/>
      <c r="D59">
        <v>10</v>
      </c>
      <c r="E59" s="14" t="s">
        <v>172</v>
      </c>
      <c r="F59" s="14">
        <v>1</v>
      </c>
      <c r="G59" s="14" t="s">
        <v>150</v>
      </c>
      <c r="H59" s="14" t="s">
        <v>173</v>
      </c>
      <c r="I59" s="13"/>
    </row>
    <row r="60" spans="2:9" ht="12.75" customHeight="1">
      <c r="B60" s="236" t="str">
        <f t="shared" si="1"/>
        <v>10,Thief</v>
      </c>
      <c r="C60" s="236"/>
      <c r="D60">
        <v>10</v>
      </c>
      <c r="E60" s="14" t="s">
        <v>174</v>
      </c>
      <c r="F60" s="14">
        <v>2</v>
      </c>
      <c r="G60" s="14"/>
      <c r="H60" s="14"/>
      <c r="I60" s="13" t="s">
        <v>175</v>
      </c>
    </row>
    <row r="61" spans="2:9" ht="12.75" customHeight="1">
      <c r="B61" s="236" t="str">
        <f t="shared" si="1"/>
        <v>10,Tracking</v>
      </c>
      <c r="C61" s="236"/>
      <c r="D61">
        <v>10</v>
      </c>
      <c r="E61" s="14" t="s">
        <v>176</v>
      </c>
      <c r="F61" s="14">
        <v>1</v>
      </c>
      <c r="G61" s="14"/>
      <c r="H61" s="14"/>
      <c r="I61" s="13"/>
    </row>
    <row r="62" spans="2:9" ht="12.75" customHeight="1">
      <c r="B62" s="236" t="str">
        <f t="shared" si="1"/>
        <v>10,Unarmed Combat I</v>
      </c>
      <c r="C62" s="236"/>
      <c r="D62">
        <v>10</v>
      </c>
      <c r="E62" s="14" t="s">
        <v>177</v>
      </c>
      <c r="F62" s="14">
        <v>2</v>
      </c>
      <c r="G62" s="14" t="s">
        <v>178</v>
      </c>
      <c r="H62" s="14" t="s">
        <v>179</v>
      </c>
      <c r="I62" s="13"/>
    </row>
    <row r="63" spans="2:9" ht="12.75" customHeight="1">
      <c r="B63" s="236" t="str">
        <f t="shared" si="1"/>
        <v>11,Architect/Builder</v>
      </c>
      <c r="C63" s="236"/>
      <c r="D63">
        <v>11</v>
      </c>
      <c r="E63" s="14" t="s">
        <v>180</v>
      </c>
      <c r="F63" s="14">
        <v>2</v>
      </c>
      <c r="G63" s="14"/>
      <c r="H63" s="14"/>
      <c r="I63" s="13"/>
    </row>
    <row r="64" spans="2:9" ht="12.75" customHeight="1">
      <c r="B64" s="236" t="str">
        <f t="shared" si="1"/>
        <v>11,Courtly Graces</v>
      </c>
      <c r="C64" s="236"/>
      <c r="D64">
        <v>11</v>
      </c>
      <c r="E64" s="14" t="s">
        <v>181</v>
      </c>
      <c r="F64" s="14">
        <v>1</v>
      </c>
      <c r="G64" s="14"/>
      <c r="H64" s="14"/>
      <c r="I64" s="13"/>
    </row>
    <row r="65" spans="2:9" ht="12.75" customHeight="1">
      <c r="B65" s="236" t="str">
        <f t="shared" si="1"/>
        <v>11,Detection of Lies</v>
      </c>
      <c r="C65" s="236"/>
      <c r="D65">
        <v>11</v>
      </c>
      <c r="E65" s="14" t="s">
        <v>182</v>
      </c>
      <c r="F65" s="14">
        <v>2</v>
      </c>
      <c r="G65" s="14"/>
      <c r="H65" s="14"/>
      <c r="I65" s="13"/>
    </row>
    <row r="66" spans="2:9" ht="12.75" customHeight="1">
      <c r="B66" s="236" t="str">
        <f t="shared" ref="B66:B97" si="2">CONCATENATE(D66,",",E66)</f>
        <v>11,Expert Horseman</v>
      </c>
      <c r="C66" s="236"/>
      <c r="D66">
        <v>11</v>
      </c>
      <c r="E66" s="14" t="s">
        <v>183</v>
      </c>
      <c r="F66" s="14">
        <v>2</v>
      </c>
      <c r="G66" s="14" t="s">
        <v>104</v>
      </c>
      <c r="H66" s="14" t="s">
        <v>184</v>
      </c>
      <c r="I66" s="13"/>
    </row>
    <row r="67" spans="2:9" ht="12.75" customHeight="1">
      <c r="B67" s="236" t="str">
        <f t="shared" si="2"/>
        <v>11,Goldsmith</v>
      </c>
      <c r="C67" s="236"/>
      <c r="D67">
        <v>11</v>
      </c>
      <c r="E67" s="14" t="s">
        <v>185</v>
      </c>
      <c r="F67" s="14">
        <v>2</v>
      </c>
      <c r="G67" s="14" t="s">
        <v>104</v>
      </c>
      <c r="H67" s="14" t="s">
        <v>186</v>
      </c>
      <c r="I67" s="13"/>
    </row>
    <row r="68" spans="2:9" ht="12.75" customHeight="1">
      <c r="B68" s="236" t="str">
        <f t="shared" si="2"/>
        <v>11,Mechanician</v>
      </c>
      <c r="C68" s="236"/>
      <c r="D68">
        <v>11</v>
      </c>
      <c r="E68" s="14" t="s">
        <v>187</v>
      </c>
      <c r="F68" s="14">
        <v>2</v>
      </c>
      <c r="G68" s="14" t="s">
        <v>188</v>
      </c>
      <c r="H68" s="14"/>
      <c r="I68" s="13"/>
    </row>
    <row r="69" spans="2:9" ht="12.75" customHeight="1">
      <c r="B69" s="236" t="str">
        <f t="shared" si="2"/>
        <v>11,Monster Followers</v>
      </c>
      <c r="C69" s="236"/>
      <c r="D69">
        <v>11</v>
      </c>
      <c r="E69" s="14" t="s">
        <v>189</v>
      </c>
      <c r="F69" s="14">
        <v>2</v>
      </c>
      <c r="G69" s="14"/>
      <c r="H69" s="14"/>
      <c r="I69" s="13"/>
    </row>
    <row r="70" spans="2:9" ht="12.75" customHeight="1">
      <c r="B70" s="236" t="str">
        <f t="shared" si="2"/>
        <v>11,Physicker</v>
      </c>
      <c r="C70" s="236"/>
      <c r="D70">
        <v>11</v>
      </c>
      <c r="E70" s="14" t="s">
        <v>190</v>
      </c>
      <c r="F70" s="14">
        <v>2</v>
      </c>
      <c r="G70" s="14"/>
      <c r="H70" s="14"/>
      <c r="I70" s="13"/>
    </row>
    <row r="71" spans="2:9" ht="12.75" customHeight="1">
      <c r="B71" s="236" t="str">
        <f t="shared" si="2"/>
        <v>11,Shipbuilder</v>
      </c>
      <c r="C71" s="236"/>
      <c r="D71">
        <v>11</v>
      </c>
      <c r="E71" s="14" t="s">
        <v>191</v>
      </c>
      <c r="F71" s="14">
        <v>2</v>
      </c>
      <c r="G71" s="14" t="s">
        <v>104</v>
      </c>
      <c r="H71" s="14" t="s">
        <v>192</v>
      </c>
      <c r="I71" s="13"/>
    </row>
    <row r="72" spans="2:9" ht="12.75" customHeight="1">
      <c r="B72" s="236" t="str">
        <f t="shared" si="2"/>
        <v>11,Tactics</v>
      </c>
      <c r="C72" s="236"/>
      <c r="D72">
        <v>11</v>
      </c>
      <c r="E72" s="14" t="s">
        <v>193</v>
      </c>
      <c r="F72" s="14">
        <v>1</v>
      </c>
      <c r="G72" s="14"/>
      <c r="H72" s="14"/>
      <c r="I72" s="13"/>
    </row>
    <row r="73" spans="2:9" ht="12.75" customHeight="1">
      <c r="B73" s="236" t="str">
        <f t="shared" si="2"/>
        <v>11,Two Weapons</v>
      </c>
      <c r="C73" s="236"/>
      <c r="D73">
        <v>11</v>
      </c>
      <c r="E73" s="14" t="s">
        <v>194</v>
      </c>
      <c r="F73" s="14">
        <v>3</v>
      </c>
      <c r="G73" s="14" t="s">
        <v>150</v>
      </c>
      <c r="H73" s="14" t="s">
        <v>195</v>
      </c>
      <c r="I73" s="13"/>
    </row>
    <row r="74" spans="2:9" ht="12.75" customHeight="1">
      <c r="B74" s="236" t="str">
        <f t="shared" si="2"/>
        <v>11,Woodsman</v>
      </c>
      <c r="C74" s="236"/>
      <c r="D74">
        <v>11</v>
      </c>
      <c r="E74" s="14" t="s">
        <v>196</v>
      </c>
      <c r="F74" s="14">
        <v>1</v>
      </c>
      <c r="G74" s="14" t="s">
        <v>104</v>
      </c>
      <c r="H74" s="14" t="s">
        <v>197</v>
      </c>
      <c r="I74" s="13"/>
    </row>
    <row r="75" spans="2:9" ht="12.75" customHeight="1">
      <c r="B75" s="236" t="str">
        <f t="shared" si="2"/>
        <v>11,Vet</v>
      </c>
      <c r="C75" s="236"/>
      <c r="D75">
        <v>11</v>
      </c>
      <c r="E75" s="14" t="s">
        <v>198</v>
      </c>
      <c r="F75" s="14">
        <v>2</v>
      </c>
      <c r="G75" s="14" t="s">
        <v>104</v>
      </c>
      <c r="H75" s="14" t="s">
        <v>199</v>
      </c>
      <c r="I75" s="13"/>
    </row>
    <row r="76" spans="2:9" ht="12.75" customHeight="1">
      <c r="B76" s="236" t="str">
        <f t="shared" si="2"/>
        <v>12,Assess Value</v>
      </c>
      <c r="C76" s="236"/>
      <c r="D76">
        <v>12</v>
      </c>
      <c r="E76" s="14" t="s">
        <v>200</v>
      </c>
      <c r="F76" s="14">
        <v>1</v>
      </c>
      <c r="G76" s="14" t="s">
        <v>104</v>
      </c>
      <c r="H76" s="14" t="s">
        <v>186</v>
      </c>
      <c r="I76" s="13"/>
    </row>
    <row r="77" spans="2:9" ht="12.75" customHeight="1">
      <c r="B77" s="236" t="str">
        <f t="shared" si="2"/>
        <v>12,Captain</v>
      </c>
      <c r="C77" s="236"/>
      <c r="D77">
        <v>12</v>
      </c>
      <c r="E77" s="14" t="s">
        <v>201</v>
      </c>
      <c r="F77" s="14">
        <v>2</v>
      </c>
      <c r="G77" s="14" t="s">
        <v>104</v>
      </c>
      <c r="H77" s="14" t="s">
        <v>192</v>
      </c>
      <c r="I77" s="13"/>
    </row>
    <row r="78" spans="2:9" ht="12.75" customHeight="1">
      <c r="B78" s="236" t="str">
        <f t="shared" si="2"/>
        <v>12,Expert Naturalist</v>
      </c>
      <c r="C78" s="236"/>
      <c r="D78">
        <v>12</v>
      </c>
      <c r="E78" s="14" t="s">
        <v>202</v>
      </c>
      <c r="F78" s="14">
        <v>3</v>
      </c>
      <c r="G78" s="14" t="s">
        <v>104</v>
      </c>
      <c r="H78" s="14" t="s">
        <v>197</v>
      </c>
      <c r="I78" s="13"/>
    </row>
    <row r="79" spans="2:9" ht="12.75" customHeight="1">
      <c r="B79" s="236" t="str">
        <f t="shared" si="2"/>
        <v>12,Master Armourer</v>
      </c>
      <c r="C79" s="236"/>
      <c r="D79">
        <v>12</v>
      </c>
      <c r="E79" s="14" t="s">
        <v>203</v>
      </c>
      <c r="F79" s="14">
        <v>2</v>
      </c>
      <c r="G79" s="14" t="s">
        <v>104</v>
      </c>
      <c r="H79" s="14" t="s">
        <v>204</v>
      </c>
      <c r="I79" s="13"/>
    </row>
    <row r="80" spans="2:9" ht="12.75" customHeight="1">
      <c r="B80" s="236" t="str">
        <f t="shared" si="2"/>
        <v>12,Master Thief</v>
      </c>
      <c r="C80" s="236"/>
      <c r="D80">
        <v>12</v>
      </c>
      <c r="E80" s="14" t="s">
        <v>205</v>
      </c>
      <c r="F80" s="14">
        <v>2</v>
      </c>
      <c r="G80" s="14" t="s">
        <v>150</v>
      </c>
      <c r="H80" s="14" t="s">
        <v>206</v>
      </c>
      <c r="I80" s="13"/>
    </row>
    <row r="81" spans="2:9" ht="12.75" customHeight="1">
      <c r="B81" s="236" t="str">
        <f t="shared" si="2"/>
        <v>12,Monster Followers II</v>
      </c>
      <c r="C81" s="236"/>
      <c r="D81">
        <v>12</v>
      </c>
      <c r="E81" s="14" t="s">
        <v>207</v>
      </c>
      <c r="F81" s="14">
        <v>2</v>
      </c>
      <c r="G81" s="14" t="s">
        <v>104</v>
      </c>
      <c r="H81" s="14" t="s">
        <v>208</v>
      </c>
      <c r="I81" s="13"/>
    </row>
    <row r="82" spans="2:9" ht="12.75" customHeight="1">
      <c r="B82" s="236" t="str">
        <f t="shared" si="2"/>
        <v>12,Spying</v>
      </c>
      <c r="C82" s="236"/>
      <c r="D82">
        <v>12</v>
      </c>
      <c r="E82" s="14" t="s">
        <v>209</v>
      </c>
      <c r="F82" s="14">
        <v>3</v>
      </c>
      <c r="G82" s="14" t="s">
        <v>104</v>
      </c>
      <c r="H82" s="14" t="s">
        <v>210</v>
      </c>
      <c r="I82" s="13"/>
    </row>
    <row r="83" spans="2:9" ht="12.75" customHeight="1">
      <c r="B83" s="236" t="str">
        <f t="shared" si="2"/>
        <v>12,Unarmed Combat II</v>
      </c>
      <c r="C83" s="236"/>
      <c r="D83">
        <v>12</v>
      </c>
      <c r="E83" s="14" t="s">
        <v>211</v>
      </c>
      <c r="F83" s="14">
        <v>2</v>
      </c>
      <c r="G83" s="14" t="s">
        <v>150</v>
      </c>
      <c r="H83" s="14" t="s">
        <v>212</v>
      </c>
      <c r="I83" s="13"/>
    </row>
    <row r="84" spans="2:9" ht="12.75" customHeight="1">
      <c r="B84" s="236" t="str">
        <f t="shared" si="2"/>
        <v>12,Ventriloquist</v>
      </c>
      <c r="C84" s="236"/>
      <c r="D84">
        <v>12</v>
      </c>
      <c r="E84" s="14" t="s">
        <v>213</v>
      </c>
      <c r="F84" s="14">
        <v>2</v>
      </c>
      <c r="G84" s="14"/>
      <c r="H84" s="14"/>
      <c r="I84" s="13"/>
    </row>
    <row r="85" spans="2:9" ht="12.75" customHeight="1">
      <c r="B85" s="236" t="str">
        <f t="shared" si="2"/>
        <v>13,Chemist</v>
      </c>
      <c r="C85" s="236"/>
      <c r="D85">
        <v>13</v>
      </c>
      <c r="E85" s="14" t="s">
        <v>214</v>
      </c>
      <c r="F85" s="14">
        <v>3</v>
      </c>
      <c r="G85" s="14"/>
      <c r="H85" s="14"/>
      <c r="I85" s="13"/>
    </row>
    <row r="86" spans="2:9" ht="12.75" customHeight="1">
      <c r="B86" s="236" t="str">
        <f t="shared" si="2"/>
        <v>13,Master Mechanician</v>
      </c>
      <c r="C86" s="236"/>
      <c r="D86">
        <v>13</v>
      </c>
      <c r="E86" s="14" t="s">
        <v>215</v>
      </c>
      <c r="F86" s="14">
        <v>2</v>
      </c>
      <c r="G86" s="14" t="s">
        <v>104</v>
      </c>
      <c r="H86" s="14" t="s">
        <v>216</v>
      </c>
      <c r="I86" s="13"/>
    </row>
    <row r="87" spans="2:9" ht="12.75" customHeight="1">
      <c r="B87" s="236" t="str">
        <f t="shared" si="2"/>
        <v>13,Mathematician</v>
      </c>
      <c r="C87" s="236"/>
      <c r="D87">
        <v>13</v>
      </c>
      <c r="E87" s="14" t="s">
        <v>217</v>
      </c>
      <c r="F87" s="14">
        <v>2</v>
      </c>
      <c r="G87" s="14" t="s">
        <v>104</v>
      </c>
      <c r="H87" s="14" t="s">
        <v>218</v>
      </c>
      <c r="I87" s="13"/>
    </row>
    <row r="88" spans="2:9" ht="12.75" customHeight="1">
      <c r="B88" s="236" t="str">
        <f t="shared" si="2"/>
        <v>13,Scholar</v>
      </c>
      <c r="C88" s="236"/>
      <c r="D88">
        <v>13</v>
      </c>
      <c r="E88" s="14" t="s">
        <v>219</v>
      </c>
      <c r="F88" s="14">
        <v>3</v>
      </c>
      <c r="G88" s="14" t="s">
        <v>104</v>
      </c>
      <c r="H88" s="14" t="s">
        <v>218</v>
      </c>
      <c r="I88" s="13"/>
    </row>
    <row r="89" spans="2:9" ht="12.75" customHeight="1">
      <c r="B89" s="236" t="str">
        <f t="shared" si="2"/>
        <v>13,Strategist</v>
      </c>
      <c r="C89" s="236"/>
      <c r="D89">
        <v>13</v>
      </c>
      <c r="E89" s="14" t="s">
        <v>220</v>
      </c>
      <c r="F89" s="14">
        <v>2</v>
      </c>
      <c r="G89" s="14" t="s">
        <v>104</v>
      </c>
      <c r="H89" s="14" t="s">
        <v>221</v>
      </c>
      <c r="I89" s="13"/>
    </row>
    <row r="90" spans="2:9" ht="12.75" customHeight="1">
      <c r="B90" s="236" t="str">
        <f t="shared" si="2"/>
        <v>14,Alchemist</v>
      </c>
      <c r="C90" s="236"/>
      <c r="D90">
        <v>14</v>
      </c>
      <c r="E90" s="14" t="s">
        <v>222</v>
      </c>
      <c r="F90" s="14">
        <v>3</v>
      </c>
      <c r="G90" s="14"/>
      <c r="H90" s="14"/>
      <c r="I90" s="13"/>
    </row>
    <row r="91" spans="2:9" ht="12.75" customHeight="1">
      <c r="B91" s="236" t="str">
        <f t="shared" si="2"/>
        <v>14,Disguise</v>
      </c>
      <c r="C91" s="236"/>
      <c r="D91">
        <v>14</v>
      </c>
      <c r="E91" s="14" t="s">
        <v>223</v>
      </c>
      <c r="F91" s="14">
        <v>2</v>
      </c>
      <c r="G91" s="14"/>
      <c r="H91" s="14"/>
      <c r="I91" s="13"/>
    </row>
    <row r="92" spans="2:9" ht="12.75" customHeight="1">
      <c r="B92" s="236" t="str">
        <f t="shared" si="2"/>
        <v>14,Master Bard</v>
      </c>
      <c r="C92" s="236"/>
      <c r="D92">
        <v>14</v>
      </c>
      <c r="E92" s="14" t="s">
        <v>224</v>
      </c>
      <c r="F92" s="14">
        <v>2</v>
      </c>
      <c r="G92" s="14" t="s">
        <v>104</v>
      </c>
      <c r="H92" s="14" t="s">
        <v>225</v>
      </c>
      <c r="I92" s="13"/>
    </row>
    <row r="93" spans="2:9" ht="12.75" customHeight="1">
      <c r="B93" s="236" t="str">
        <f t="shared" si="2"/>
        <v>14,Master Physicker</v>
      </c>
      <c r="C93" s="236"/>
      <c r="D93">
        <v>14</v>
      </c>
      <c r="E93" s="14" t="s">
        <v>226</v>
      </c>
      <c r="F93" s="14">
        <v>2</v>
      </c>
      <c r="G93" s="14" t="s">
        <v>104</v>
      </c>
      <c r="H93" s="14" t="s">
        <v>227</v>
      </c>
      <c r="I93" s="13"/>
    </row>
    <row r="94" spans="2:9" ht="12.75" customHeight="1">
      <c r="B94" s="236" t="str">
        <f t="shared" si="2"/>
        <v>14,Theologian</v>
      </c>
      <c r="C94" s="236"/>
      <c r="D94">
        <v>14</v>
      </c>
      <c r="E94" s="14" t="s">
        <v>228</v>
      </c>
      <c r="F94" s="14">
        <v>2</v>
      </c>
      <c r="G94" s="14" t="s">
        <v>104</v>
      </c>
      <c r="H94" s="14" t="s">
        <v>229</v>
      </c>
      <c r="I94" s="13"/>
    </row>
    <row r="95" spans="2:9" ht="12.75" customHeight="1">
      <c r="B95" s="236" t="str">
        <f t="shared" si="2"/>
        <v>14,Unarmed Combat III</v>
      </c>
      <c r="C95" s="236"/>
      <c r="D95">
        <v>14</v>
      </c>
      <c r="E95" s="14" t="s">
        <v>230</v>
      </c>
      <c r="F95" s="14">
        <v>2</v>
      </c>
      <c r="G95" s="14" t="s">
        <v>150</v>
      </c>
      <c r="H95" s="14" t="s">
        <v>231</v>
      </c>
      <c r="I95" s="13"/>
    </row>
    <row r="96" spans="2:9" ht="12.75" customHeight="1">
      <c r="B96" s="236" t="str">
        <f t="shared" si="2"/>
        <v>14,Unarmed Combat IV</v>
      </c>
      <c r="C96" s="236"/>
      <c r="D96">
        <v>14</v>
      </c>
      <c r="E96" s="14" t="s">
        <v>232</v>
      </c>
      <c r="F96" s="14">
        <v>2</v>
      </c>
      <c r="G96" s="14" t="s">
        <v>150</v>
      </c>
      <c r="H96" s="14" t="s">
        <v>233</v>
      </c>
      <c r="I96" s="13"/>
    </row>
    <row r="97" spans="2:9" ht="12.75" customHeight="1">
      <c r="B97" s="236" t="str">
        <f t="shared" si="2"/>
        <v>14,Unarmed Combat V</v>
      </c>
      <c r="C97" s="236"/>
      <c r="D97">
        <v>14</v>
      </c>
      <c r="E97" s="14" t="s">
        <v>234</v>
      </c>
      <c r="F97" s="14">
        <v>3</v>
      </c>
      <c r="G97" s="14" t="s">
        <v>150</v>
      </c>
      <c r="H97" s="14" t="s">
        <v>235</v>
      </c>
      <c r="I97" s="13"/>
    </row>
    <row r="98" spans="2:9" ht="12.75" customHeight="1">
      <c r="I98" s="13"/>
    </row>
    <row r="99" spans="2:9" ht="12.75" customHeight="1">
      <c r="I99" s="13"/>
    </row>
    <row r="100" spans="2:9" ht="12.75" customHeight="1">
      <c r="E100" s="14"/>
      <c r="F100" s="14"/>
      <c r="G100" s="14"/>
      <c r="H100" s="14"/>
      <c r="I100" s="13"/>
    </row>
    <row r="101" spans="2:9" ht="12.75" customHeight="1">
      <c r="E101" s="14"/>
      <c r="F101" s="14"/>
      <c r="G101" s="14"/>
      <c r="H101" s="14"/>
      <c r="I101" s="13"/>
    </row>
    <row r="102" spans="2:9" ht="12.75" customHeight="1">
      <c r="E102" s="18"/>
      <c r="F102" s="18"/>
      <c r="G102" s="18"/>
      <c r="H102" s="10"/>
      <c r="I102" s="13"/>
    </row>
    <row r="103" spans="2:9" ht="12.75" customHeight="1">
      <c r="E103" s="18"/>
      <c r="F103" s="18"/>
      <c r="G103" s="18"/>
      <c r="H103" s="18"/>
      <c r="I103" s="13"/>
    </row>
    <row r="104" spans="2:9" ht="12.75" customHeight="1">
      <c r="E104" s="13"/>
      <c r="F104" s="13"/>
      <c r="G104" s="13"/>
      <c r="H104" s="13"/>
      <c r="I104" s="13"/>
    </row>
    <row r="105" spans="2:9" ht="12.75" customHeight="1">
      <c r="E105" s="13"/>
      <c r="F105" s="13"/>
      <c r="G105" s="13"/>
      <c r="H105" s="14"/>
      <c r="I105" s="13"/>
    </row>
    <row r="106" spans="2:9" ht="12.75" customHeight="1">
      <c r="E106" s="13"/>
      <c r="F106" s="13"/>
      <c r="G106" s="13"/>
      <c r="H106" s="13"/>
      <c r="I106" s="13"/>
    </row>
    <row r="107" spans="2:9" ht="12.75" customHeight="1">
      <c r="E107" s="13"/>
      <c r="F107" s="13"/>
      <c r="G107" s="13"/>
      <c r="H107" s="13"/>
      <c r="I107" s="13"/>
    </row>
    <row r="108" spans="2:9" ht="12.75" customHeight="1">
      <c r="E108" s="13"/>
      <c r="F108" s="13"/>
      <c r="G108" s="13"/>
      <c r="H108" s="13"/>
      <c r="I108" s="13"/>
    </row>
    <row r="109" spans="2:9" ht="12.75" customHeight="1">
      <c r="E109" s="13"/>
      <c r="F109" s="13"/>
      <c r="G109" s="13"/>
      <c r="H109" s="13"/>
      <c r="I109" s="13"/>
    </row>
  </sheetData>
  <mergeCells count="99">
    <mergeCell ref="B94:C94"/>
    <mergeCell ref="B95:C95"/>
    <mergeCell ref="B96:C96"/>
    <mergeCell ref="B97:C97"/>
    <mergeCell ref="B89:C89"/>
    <mergeCell ref="B90:C90"/>
    <mergeCell ref="B91:C91"/>
    <mergeCell ref="B92:C92"/>
    <mergeCell ref="B93:C93"/>
    <mergeCell ref="B84:C84"/>
    <mergeCell ref="B85:C85"/>
    <mergeCell ref="B86:C86"/>
    <mergeCell ref="B87:C87"/>
    <mergeCell ref="B88:C88"/>
    <mergeCell ref="B79:C79"/>
    <mergeCell ref="B80:C80"/>
    <mergeCell ref="B81:C81"/>
    <mergeCell ref="B82:C82"/>
    <mergeCell ref="B83:C83"/>
    <mergeCell ref="B74:C74"/>
    <mergeCell ref="B75:C75"/>
    <mergeCell ref="B76:C76"/>
    <mergeCell ref="B77:C77"/>
    <mergeCell ref="B78:C78"/>
    <mergeCell ref="B69:C69"/>
    <mergeCell ref="B70:C70"/>
    <mergeCell ref="B71:C71"/>
    <mergeCell ref="B72:C72"/>
    <mergeCell ref="B73:C73"/>
    <mergeCell ref="B64:C64"/>
    <mergeCell ref="B65:C65"/>
    <mergeCell ref="B66:C66"/>
    <mergeCell ref="B67:C67"/>
    <mergeCell ref="B68:C68"/>
    <mergeCell ref="B59:C59"/>
    <mergeCell ref="B60:C60"/>
    <mergeCell ref="B61:C61"/>
    <mergeCell ref="B62:C62"/>
    <mergeCell ref="B63:C63"/>
    <mergeCell ref="B54:C54"/>
    <mergeCell ref="B55:C55"/>
    <mergeCell ref="B56:C56"/>
    <mergeCell ref="B57:C57"/>
    <mergeCell ref="B58:C58"/>
    <mergeCell ref="B49:C49"/>
    <mergeCell ref="B50:C50"/>
    <mergeCell ref="B51:C51"/>
    <mergeCell ref="B52:C52"/>
    <mergeCell ref="B53:C53"/>
    <mergeCell ref="B46:C46"/>
    <mergeCell ref="B47:C47"/>
    <mergeCell ref="G47:H47"/>
    <mergeCell ref="B48:C48"/>
    <mergeCell ref="G48:H48"/>
    <mergeCell ref="B41:C41"/>
    <mergeCell ref="B42:C42"/>
    <mergeCell ref="B43:C43"/>
    <mergeCell ref="B44:C44"/>
    <mergeCell ref="B45:C45"/>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B1:C1"/>
    <mergeCell ref="B2:C2"/>
    <mergeCell ref="B3:C3"/>
    <mergeCell ref="B4:C4"/>
    <mergeCell ref="B5:C5"/>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1:K101"/>
  <sheetViews>
    <sheetView workbookViewId="0"/>
  </sheetViews>
  <sheetFormatPr defaultColWidth="17.140625" defaultRowHeight="12.75" customHeight="1"/>
  <cols>
    <col min="1" max="1" width="8.42578125" customWidth="1"/>
    <col min="2" max="2" width="17.7109375" customWidth="1"/>
    <col min="3" max="3" width="3.42578125" customWidth="1"/>
    <col min="5" max="5" width="4" customWidth="1"/>
    <col min="6" max="6" width="4.85546875" customWidth="1"/>
    <col min="7" max="7" width="5" customWidth="1"/>
    <col min="8" max="8" width="56.5703125" customWidth="1"/>
  </cols>
  <sheetData>
    <row r="1" spans="2:11" ht="12.75" customHeight="1">
      <c r="B1" s="13"/>
      <c r="C1" s="18" t="s">
        <v>82</v>
      </c>
      <c r="D1" s="237" t="s">
        <v>404</v>
      </c>
      <c r="E1" s="237"/>
      <c r="F1" s="18" t="s">
        <v>56</v>
      </c>
      <c r="G1" s="18" t="s">
        <v>405</v>
      </c>
      <c r="H1" s="18" t="s">
        <v>406</v>
      </c>
    </row>
    <row r="2" spans="2:11" ht="12.75" customHeight="1">
      <c r="B2" s="13" t="str">
        <f t="shared" ref="B2:B33" si="0">CONCATENATE(C2,",",D2)</f>
        <v>-,-</v>
      </c>
      <c r="C2" s="18" t="s">
        <v>86</v>
      </c>
      <c r="D2" s="18" t="s">
        <v>86</v>
      </c>
      <c r="E2" s="18"/>
      <c r="F2" s="18"/>
      <c r="G2" s="18"/>
      <c r="H2" s="18"/>
    </row>
    <row r="3" spans="2:11" ht="12.75" customHeight="1">
      <c r="B3" s="13" t="str">
        <f t="shared" si="0"/>
        <v>8,Blur</v>
      </c>
      <c r="C3" s="18">
        <v>8</v>
      </c>
      <c r="D3" s="237" t="s">
        <v>407</v>
      </c>
      <c r="E3" s="237"/>
      <c r="F3" s="18" t="s">
        <v>408</v>
      </c>
      <c r="G3" s="18" t="s">
        <v>409</v>
      </c>
      <c r="H3" s="237" t="s">
        <v>410</v>
      </c>
      <c r="I3" s="236"/>
      <c r="J3" s="236"/>
      <c r="K3" s="236"/>
    </row>
    <row r="4" spans="2:11" ht="12.75" customHeight="1">
      <c r="B4" s="13" t="str">
        <f t="shared" si="0"/>
        <v>8,Detect Magic</v>
      </c>
      <c r="C4" s="18">
        <v>8</v>
      </c>
      <c r="D4" s="237" t="s">
        <v>411</v>
      </c>
      <c r="E4" s="237"/>
      <c r="F4" s="18" t="s">
        <v>408</v>
      </c>
      <c r="G4" s="18" t="s">
        <v>412</v>
      </c>
      <c r="H4" s="237" t="s">
        <v>413</v>
      </c>
      <c r="I4" s="236"/>
      <c r="J4" s="236"/>
      <c r="K4" s="236"/>
    </row>
    <row r="5" spans="2:11" ht="12.75" customHeight="1">
      <c r="B5" s="13" t="str">
        <f t="shared" si="0"/>
        <v>8,Drop Weapon</v>
      </c>
      <c r="C5" s="18">
        <v>8</v>
      </c>
      <c r="D5" s="237" t="s">
        <v>414</v>
      </c>
      <c r="E5" s="237"/>
      <c r="F5" s="18" t="s">
        <v>408</v>
      </c>
      <c r="G5" s="18" t="s">
        <v>412</v>
      </c>
      <c r="H5" s="237" t="s">
        <v>415</v>
      </c>
      <c r="I5" s="236"/>
      <c r="J5" s="236"/>
      <c r="K5" s="236"/>
    </row>
    <row r="6" spans="2:11" ht="12.75" customHeight="1">
      <c r="B6" s="13" t="str">
        <f t="shared" si="0"/>
        <v>8,Image</v>
      </c>
      <c r="C6" s="18">
        <v>8</v>
      </c>
      <c r="D6" s="237" t="s">
        <v>416</v>
      </c>
      <c r="E6" s="237"/>
      <c r="F6" s="18" t="s">
        <v>417</v>
      </c>
      <c r="G6" s="18" t="s">
        <v>412</v>
      </c>
      <c r="H6" s="237" t="s">
        <v>418</v>
      </c>
      <c r="I6" s="236"/>
      <c r="J6" s="236"/>
      <c r="K6" s="236"/>
    </row>
    <row r="7" spans="2:11" ht="12.75" customHeight="1">
      <c r="B7" s="13" t="str">
        <f t="shared" si="0"/>
        <v>8,Light</v>
      </c>
      <c r="C7" s="18">
        <v>8</v>
      </c>
      <c r="D7" s="237" t="s">
        <v>419</v>
      </c>
      <c r="E7" s="237"/>
      <c r="F7" s="18" t="s">
        <v>420</v>
      </c>
      <c r="G7" s="18" t="s">
        <v>421</v>
      </c>
      <c r="H7" s="237" t="s">
        <v>422</v>
      </c>
      <c r="I7" s="236"/>
      <c r="J7" s="236"/>
      <c r="K7" s="236"/>
    </row>
    <row r="8" spans="2:11" ht="12.75" customHeight="1">
      <c r="B8" s="13" t="str">
        <f t="shared" si="0"/>
        <v>8,Magic Fist</v>
      </c>
      <c r="C8" s="18">
        <v>8</v>
      </c>
      <c r="D8" s="237" t="s">
        <v>423</v>
      </c>
      <c r="E8" s="237"/>
      <c r="F8" s="18" t="s">
        <v>424</v>
      </c>
      <c r="G8" s="18" t="s">
        <v>425</v>
      </c>
      <c r="H8" s="237" t="s">
        <v>426</v>
      </c>
      <c r="I8" s="236"/>
      <c r="J8" s="236"/>
      <c r="K8" s="236"/>
    </row>
    <row r="9" spans="2:11" ht="12.75" customHeight="1">
      <c r="B9" s="13" t="str">
        <f t="shared" si="0"/>
        <v>8,Slow Movement</v>
      </c>
      <c r="C9" s="18">
        <v>8</v>
      </c>
      <c r="D9" s="237" t="s">
        <v>427</v>
      </c>
      <c r="E9" s="237"/>
      <c r="F9" s="18" t="s">
        <v>408</v>
      </c>
      <c r="G9" s="18" t="s">
        <v>428</v>
      </c>
      <c r="H9" s="237" t="s">
        <v>429</v>
      </c>
      <c r="I9" s="236"/>
      <c r="J9" s="236"/>
      <c r="K9" s="236"/>
    </row>
    <row r="10" spans="2:11" ht="12.75" customHeight="1">
      <c r="B10" s="13" t="str">
        <f t="shared" si="0"/>
        <v>8,Staff</v>
      </c>
      <c r="C10" s="18">
        <v>8</v>
      </c>
      <c r="D10" s="237" t="s">
        <v>430</v>
      </c>
      <c r="E10" s="237"/>
      <c r="F10" s="18" t="s">
        <v>431</v>
      </c>
      <c r="G10" s="18" t="s">
        <v>432</v>
      </c>
      <c r="H10" s="237" t="s">
        <v>433</v>
      </c>
      <c r="I10" s="236"/>
      <c r="J10" s="236"/>
      <c r="K10" s="236"/>
    </row>
    <row r="11" spans="2:11" ht="12.75" customHeight="1">
      <c r="B11" s="13" t="str">
        <f t="shared" si="0"/>
        <v>9,Aid</v>
      </c>
      <c r="C11" s="18">
        <v>9</v>
      </c>
      <c r="D11" s="237" t="s">
        <v>434</v>
      </c>
      <c r="E11" s="237"/>
      <c r="F11" s="18" t="s">
        <v>408</v>
      </c>
      <c r="G11" s="18" t="s">
        <v>425</v>
      </c>
      <c r="H11" s="237" t="s">
        <v>435</v>
      </c>
      <c r="I11" s="236"/>
      <c r="J11" s="236"/>
      <c r="K11" s="236"/>
    </row>
    <row r="12" spans="2:11" ht="12.75" customHeight="1">
      <c r="B12" s="13" t="str">
        <f t="shared" si="0"/>
        <v>9,Avert</v>
      </c>
      <c r="C12" s="18">
        <v>9</v>
      </c>
      <c r="D12" s="237" t="s">
        <v>436</v>
      </c>
      <c r="E12" s="237"/>
      <c r="F12" s="18" t="s">
        <v>408</v>
      </c>
      <c r="G12" s="18" t="s">
        <v>428</v>
      </c>
      <c r="H12" s="237" t="s">
        <v>437</v>
      </c>
      <c r="I12" s="236"/>
      <c r="J12" s="236"/>
      <c r="K12" s="236"/>
    </row>
    <row r="13" spans="2:11" ht="12.75" customHeight="1">
      <c r="B13" s="13" t="str">
        <f t="shared" si="0"/>
        <v>9,Clumsiness</v>
      </c>
      <c r="C13" s="18">
        <v>9</v>
      </c>
      <c r="D13" s="237" t="s">
        <v>438</v>
      </c>
      <c r="E13" s="237"/>
      <c r="F13" s="18" t="s">
        <v>408</v>
      </c>
      <c r="G13" s="18" t="s">
        <v>425</v>
      </c>
      <c r="H13" s="237" t="s">
        <v>439</v>
      </c>
      <c r="I13" s="236"/>
      <c r="J13" s="236"/>
      <c r="K13" s="236"/>
    </row>
    <row r="14" spans="2:11" ht="12.75" customHeight="1">
      <c r="B14" s="13" t="str">
        <f t="shared" si="0"/>
        <v>9,Confusion</v>
      </c>
      <c r="C14" s="18">
        <v>9</v>
      </c>
      <c r="D14" s="237" t="s">
        <v>440</v>
      </c>
      <c r="E14" s="237"/>
      <c r="F14" s="18" t="s">
        <v>408</v>
      </c>
      <c r="G14" s="18" t="s">
        <v>425</v>
      </c>
      <c r="H14" s="237" t="s">
        <v>441</v>
      </c>
      <c r="I14" s="236"/>
      <c r="J14" s="236"/>
      <c r="K14" s="236"/>
    </row>
    <row r="15" spans="2:11" ht="12.75" customHeight="1">
      <c r="B15" s="13" t="str">
        <f t="shared" si="0"/>
        <v>9,Dark Vision</v>
      </c>
      <c r="C15" s="18">
        <v>9</v>
      </c>
      <c r="D15" s="237" t="s">
        <v>442</v>
      </c>
      <c r="E15" s="237"/>
      <c r="F15" s="18" t="s">
        <v>408</v>
      </c>
      <c r="G15" s="18" t="s">
        <v>443</v>
      </c>
      <c r="H15" s="237" t="s">
        <v>444</v>
      </c>
      <c r="I15" s="236"/>
      <c r="J15" s="236"/>
      <c r="K15" s="236"/>
    </row>
    <row r="16" spans="2:11" ht="12.75" customHeight="1">
      <c r="B16" s="13" t="str">
        <f t="shared" si="0"/>
        <v>9,Darkness</v>
      </c>
      <c r="C16" s="18">
        <v>9</v>
      </c>
      <c r="D16" s="237" t="s">
        <v>445</v>
      </c>
      <c r="E16" s="237"/>
      <c r="F16" s="18" t="s">
        <v>431</v>
      </c>
      <c r="G16" s="18" t="s">
        <v>446</v>
      </c>
      <c r="H16" s="237" t="s">
        <v>447</v>
      </c>
      <c r="I16" s="236"/>
      <c r="J16" s="236"/>
      <c r="K16" s="236"/>
    </row>
    <row r="17" spans="2:11" ht="12.75" customHeight="1">
      <c r="B17" s="13" t="str">
        <f t="shared" si="0"/>
        <v>9,Detect Life</v>
      </c>
      <c r="C17" s="18">
        <v>9</v>
      </c>
      <c r="D17" s="237" t="s">
        <v>448</v>
      </c>
      <c r="E17" s="237"/>
      <c r="F17" s="18" t="s">
        <v>431</v>
      </c>
      <c r="G17" s="18" t="s">
        <v>449</v>
      </c>
      <c r="H17" s="237" t="s">
        <v>450</v>
      </c>
      <c r="I17" s="236"/>
      <c r="J17" s="236"/>
      <c r="K17" s="236"/>
    </row>
    <row r="18" spans="2:11" ht="12.75" customHeight="1">
      <c r="B18" s="13" t="str">
        <f t="shared" si="0"/>
        <v>9,Fire</v>
      </c>
      <c r="C18" s="18">
        <v>9</v>
      </c>
      <c r="D18" s="237" t="s">
        <v>451</v>
      </c>
      <c r="E18" s="237"/>
      <c r="F18" s="18" t="s">
        <v>417</v>
      </c>
      <c r="G18" s="18" t="s">
        <v>412</v>
      </c>
      <c r="H18" s="237" t="s">
        <v>452</v>
      </c>
      <c r="I18" s="236"/>
      <c r="J18" s="236"/>
      <c r="K18" s="236"/>
    </row>
    <row r="19" spans="2:11" ht="12.75" customHeight="1">
      <c r="B19" s="13" t="str">
        <f t="shared" si="0"/>
        <v>9,Reveal Magic</v>
      </c>
      <c r="C19" s="18">
        <v>9</v>
      </c>
      <c r="D19" s="237" t="s">
        <v>453</v>
      </c>
      <c r="E19" s="237"/>
      <c r="F19" s="18" t="s">
        <v>431</v>
      </c>
      <c r="G19" s="18" t="s">
        <v>409</v>
      </c>
      <c r="H19" s="237" t="s">
        <v>454</v>
      </c>
      <c r="I19" s="236"/>
      <c r="J19" s="236"/>
      <c r="K19" s="236"/>
    </row>
    <row r="20" spans="2:11" ht="12.75" customHeight="1">
      <c r="B20" s="13" t="str">
        <f t="shared" si="0"/>
        <v>9,Summon Wolf</v>
      </c>
      <c r="C20" s="18">
        <v>9</v>
      </c>
      <c r="D20" s="237" t="s">
        <v>455</v>
      </c>
      <c r="E20" s="237"/>
      <c r="F20" s="18" t="s">
        <v>417</v>
      </c>
      <c r="G20" s="18" t="s">
        <v>428</v>
      </c>
      <c r="H20" s="237" t="s">
        <v>456</v>
      </c>
      <c r="I20" s="236"/>
      <c r="J20" s="236"/>
      <c r="K20" s="236"/>
    </row>
    <row r="21" spans="2:11" ht="12.75" customHeight="1">
      <c r="B21" s="13" t="str">
        <f t="shared" si="0"/>
        <v>10,Dazzle</v>
      </c>
      <c r="C21" s="18">
        <v>10</v>
      </c>
      <c r="D21" s="237" t="s">
        <v>457</v>
      </c>
      <c r="E21" s="237"/>
      <c r="F21" s="18" t="s">
        <v>431</v>
      </c>
      <c r="G21" s="18" t="s">
        <v>443</v>
      </c>
      <c r="H21" s="237" t="s">
        <v>458</v>
      </c>
      <c r="I21" s="236"/>
      <c r="J21" s="236"/>
      <c r="K21" s="236"/>
    </row>
    <row r="22" spans="2:11" ht="12.75" customHeight="1">
      <c r="B22" s="13" t="str">
        <f t="shared" si="0"/>
        <v>10,Detect Enemies</v>
      </c>
      <c r="C22" s="18">
        <v>10</v>
      </c>
      <c r="D22" s="237" t="s">
        <v>459</v>
      </c>
      <c r="E22" s="237"/>
      <c r="F22" s="18" t="s">
        <v>431</v>
      </c>
      <c r="G22" s="18" t="s">
        <v>460</v>
      </c>
      <c r="H22" s="237" t="s">
        <v>461</v>
      </c>
      <c r="I22" s="236"/>
      <c r="J22" s="236"/>
      <c r="K22" s="236"/>
    </row>
    <row r="23" spans="2:11" ht="12.75" customHeight="1">
      <c r="B23" s="13" t="str">
        <f t="shared" si="0"/>
        <v>10,Far Vision</v>
      </c>
      <c r="C23" s="18">
        <v>10</v>
      </c>
      <c r="D23" s="237" t="s">
        <v>462</v>
      </c>
      <c r="E23" s="237"/>
      <c r="F23" s="18" t="s">
        <v>408</v>
      </c>
      <c r="G23" s="18" t="s">
        <v>412</v>
      </c>
      <c r="H23" s="237" t="s">
        <v>463</v>
      </c>
      <c r="I23" s="236"/>
      <c r="J23" s="236"/>
      <c r="K23" s="236"/>
    </row>
    <row r="24" spans="2:11" ht="12.75" customHeight="1">
      <c r="B24" s="13" t="str">
        <f t="shared" si="0"/>
        <v>10,Lock / Knock</v>
      </c>
      <c r="C24" s="18">
        <v>10</v>
      </c>
      <c r="D24" s="237" t="s">
        <v>464</v>
      </c>
      <c r="E24" s="237"/>
      <c r="F24" s="18" t="s">
        <v>408</v>
      </c>
      <c r="G24" s="18" t="s">
        <v>465</v>
      </c>
      <c r="H24" s="237" t="s">
        <v>466</v>
      </c>
      <c r="I24" s="236"/>
      <c r="J24" s="236"/>
      <c r="K24" s="236"/>
    </row>
    <row r="25" spans="2:11" ht="12.75" customHeight="1">
      <c r="B25" s="13" t="str">
        <f t="shared" si="0"/>
        <v>10,Shadow</v>
      </c>
      <c r="C25" s="13">
        <v>10</v>
      </c>
      <c r="D25" s="238" t="s">
        <v>467</v>
      </c>
      <c r="E25" s="238"/>
      <c r="F25" s="13" t="s">
        <v>417</v>
      </c>
      <c r="G25" s="13" t="s">
        <v>468</v>
      </c>
      <c r="H25" s="238" t="s">
        <v>469</v>
      </c>
      <c r="I25" s="236"/>
      <c r="J25" s="236"/>
      <c r="K25" s="236"/>
    </row>
    <row r="26" spans="2:11" ht="12.75" customHeight="1">
      <c r="B26" s="13" t="str">
        <f t="shared" si="0"/>
        <v>10,Shock Shield</v>
      </c>
      <c r="C26" s="13">
        <v>10</v>
      </c>
      <c r="D26" s="238" t="s">
        <v>470</v>
      </c>
      <c r="E26" s="238"/>
      <c r="F26" s="13" t="s">
        <v>408</v>
      </c>
      <c r="G26" s="13" t="s">
        <v>428</v>
      </c>
      <c r="H26" s="238" t="s">
        <v>471</v>
      </c>
      <c r="I26" s="236"/>
      <c r="J26" s="236"/>
      <c r="K26" s="236"/>
    </row>
    <row r="27" spans="2:11" ht="12.75" customHeight="1">
      <c r="B27" s="13" t="str">
        <f t="shared" si="0"/>
        <v>10,Speed Movement</v>
      </c>
      <c r="C27" s="13">
        <v>10</v>
      </c>
      <c r="D27" s="238" t="s">
        <v>472</v>
      </c>
      <c r="E27" s="238"/>
      <c r="F27" s="13" t="s">
        <v>408</v>
      </c>
      <c r="G27" s="13" t="s">
        <v>465</v>
      </c>
      <c r="H27" s="238" t="s">
        <v>473</v>
      </c>
      <c r="I27" s="236"/>
      <c r="J27" s="236"/>
      <c r="K27" s="236"/>
    </row>
    <row r="28" spans="2:11" ht="12.75" customHeight="1">
      <c r="B28" s="13" t="str">
        <f t="shared" si="0"/>
        <v>10,Summon Myrmidon</v>
      </c>
      <c r="C28" s="13">
        <v>10</v>
      </c>
      <c r="D28" s="238" t="s">
        <v>474</v>
      </c>
      <c r="E28" s="238"/>
      <c r="F28" s="13" t="s">
        <v>417</v>
      </c>
      <c r="G28" s="13" t="s">
        <v>428</v>
      </c>
      <c r="H28" s="238" t="s">
        <v>475</v>
      </c>
      <c r="I28" s="236"/>
      <c r="J28" s="236"/>
      <c r="K28" s="236"/>
    </row>
    <row r="29" spans="2:11" ht="12.75" customHeight="1">
      <c r="B29" s="13" t="str">
        <f t="shared" si="0"/>
        <v>10,Trailtwister</v>
      </c>
      <c r="C29" s="13">
        <v>10</v>
      </c>
      <c r="D29" s="238" t="s">
        <v>476</v>
      </c>
      <c r="E29" s="238"/>
      <c r="F29" s="13" t="s">
        <v>431</v>
      </c>
      <c r="G29" s="13" t="s">
        <v>477</v>
      </c>
      <c r="H29" s="238" t="s">
        <v>478</v>
      </c>
      <c r="I29" s="236"/>
      <c r="J29" s="236"/>
      <c r="K29" s="236"/>
    </row>
    <row r="30" spans="2:11" ht="12.75" customHeight="1">
      <c r="B30" s="13" t="str">
        <f t="shared" si="0"/>
        <v>10,Trip</v>
      </c>
      <c r="C30" s="13">
        <v>10</v>
      </c>
      <c r="D30" s="238" t="s">
        <v>479</v>
      </c>
      <c r="E30" s="238"/>
      <c r="F30" s="13" t="s">
        <v>408</v>
      </c>
      <c r="G30" s="13" t="s">
        <v>465</v>
      </c>
      <c r="H30" s="238" t="s">
        <v>480</v>
      </c>
      <c r="I30" s="236"/>
      <c r="J30" s="236"/>
      <c r="K30" s="236"/>
    </row>
    <row r="31" spans="2:11" ht="12.75" customHeight="1">
      <c r="B31" s="13" t="str">
        <f t="shared" si="0"/>
        <v>10,Ward</v>
      </c>
      <c r="C31" s="13">
        <v>10</v>
      </c>
      <c r="D31" s="238" t="s">
        <v>481</v>
      </c>
      <c r="E31" s="238"/>
      <c r="F31" s="13" t="s">
        <v>431</v>
      </c>
      <c r="G31" s="13" t="s">
        <v>465</v>
      </c>
      <c r="H31" s="238" t="s">
        <v>482</v>
      </c>
      <c r="I31" s="236"/>
      <c r="J31" s="236"/>
      <c r="K31" s="236"/>
    </row>
    <row r="32" spans="2:11" ht="12.75" customHeight="1">
      <c r="B32" s="13" t="str">
        <f t="shared" si="0"/>
        <v>11,Control Animal</v>
      </c>
      <c r="C32" s="13">
        <v>11</v>
      </c>
      <c r="D32" s="238" t="s">
        <v>483</v>
      </c>
      <c r="E32" s="238"/>
      <c r="F32" s="13" t="s">
        <v>408</v>
      </c>
      <c r="G32" s="13" t="s">
        <v>428</v>
      </c>
      <c r="H32" s="238" t="s">
        <v>484</v>
      </c>
      <c r="I32" s="236"/>
      <c r="J32" s="236"/>
      <c r="K32" s="236"/>
    </row>
    <row r="33" spans="2:11" ht="12.75" customHeight="1">
      <c r="B33" s="13" t="str">
        <f t="shared" si="0"/>
        <v>11,Create Wall</v>
      </c>
      <c r="C33" s="13">
        <v>11</v>
      </c>
      <c r="D33" s="238" t="s">
        <v>485</v>
      </c>
      <c r="E33" s="238"/>
      <c r="F33" s="13" t="s">
        <v>417</v>
      </c>
      <c r="G33" s="13" t="s">
        <v>465</v>
      </c>
      <c r="H33" s="238" t="s">
        <v>486</v>
      </c>
      <c r="I33" s="236"/>
      <c r="J33" s="236"/>
      <c r="K33" s="236"/>
    </row>
    <row r="34" spans="2:11" ht="12.75" customHeight="1">
      <c r="B34" s="13" t="str">
        <f t="shared" ref="B34:B65" si="1">CONCATENATE(C34,",",D34)</f>
        <v>11,Destroy Creation</v>
      </c>
      <c r="C34" s="13">
        <v>11</v>
      </c>
      <c r="D34" s="238" t="s">
        <v>487</v>
      </c>
      <c r="E34" s="238"/>
      <c r="F34" s="13" t="s">
        <v>408</v>
      </c>
      <c r="G34" s="13" t="s">
        <v>412</v>
      </c>
      <c r="H34" s="238" t="s">
        <v>488</v>
      </c>
      <c r="I34" s="236"/>
      <c r="J34" s="236"/>
      <c r="K34" s="236"/>
    </row>
    <row r="35" spans="2:11" ht="12.75" customHeight="1">
      <c r="B35" s="13" t="str">
        <f t="shared" si="1"/>
        <v>11,Illusion</v>
      </c>
      <c r="C35" s="13">
        <v>11</v>
      </c>
      <c r="D35" s="238" t="s">
        <v>489</v>
      </c>
      <c r="E35" s="238"/>
      <c r="F35" s="13" t="s">
        <v>417</v>
      </c>
      <c r="G35" s="13" t="s">
        <v>465</v>
      </c>
      <c r="H35" s="238" t="s">
        <v>490</v>
      </c>
      <c r="I35" s="236"/>
      <c r="J35" s="236"/>
      <c r="K35" s="236"/>
    </row>
    <row r="36" spans="2:11" ht="12.75" customHeight="1">
      <c r="B36" s="13" t="str">
        <f t="shared" si="1"/>
        <v>11,Persuasiveness</v>
      </c>
      <c r="C36" s="13">
        <v>11</v>
      </c>
      <c r="D36" s="238" t="s">
        <v>491</v>
      </c>
      <c r="E36" s="238"/>
      <c r="F36" s="13" t="s">
        <v>408</v>
      </c>
      <c r="G36" s="13" t="s">
        <v>428</v>
      </c>
      <c r="H36" s="238" t="s">
        <v>492</v>
      </c>
      <c r="I36" s="236"/>
      <c r="J36" s="236"/>
      <c r="K36" s="236"/>
    </row>
    <row r="37" spans="2:11" ht="12.75" customHeight="1">
      <c r="B37" s="13" t="str">
        <f t="shared" si="1"/>
        <v>11,Reveal / Conceal</v>
      </c>
      <c r="C37" s="13">
        <v>11</v>
      </c>
      <c r="D37" s="238" t="s">
        <v>493</v>
      </c>
      <c r="E37" s="238"/>
      <c r="F37" s="13" t="s">
        <v>408</v>
      </c>
      <c r="G37" s="13" t="s">
        <v>494</v>
      </c>
      <c r="H37" s="238" t="s">
        <v>495</v>
      </c>
      <c r="I37" s="236"/>
      <c r="J37" s="236"/>
      <c r="K37" s="236"/>
    </row>
    <row r="38" spans="2:11" ht="12.75" customHeight="1">
      <c r="B38" s="13" t="str">
        <f t="shared" si="1"/>
        <v>11,Reverse Missiles</v>
      </c>
      <c r="C38" s="13">
        <v>11</v>
      </c>
      <c r="D38" s="238" t="s">
        <v>496</v>
      </c>
      <c r="E38" s="238"/>
      <c r="F38" s="13" t="s">
        <v>408</v>
      </c>
      <c r="G38" s="13" t="s">
        <v>428</v>
      </c>
      <c r="H38" s="238" t="s">
        <v>497</v>
      </c>
      <c r="I38" s="236"/>
      <c r="J38" s="236"/>
      <c r="K38" s="236"/>
    </row>
    <row r="39" spans="2:11" ht="12.75" customHeight="1">
      <c r="B39" s="13" t="str">
        <f t="shared" si="1"/>
        <v>11,Rope</v>
      </c>
      <c r="C39" s="13">
        <v>11</v>
      </c>
      <c r="D39" s="238" t="s">
        <v>498</v>
      </c>
      <c r="E39" s="238"/>
      <c r="F39" s="13" t="s">
        <v>417</v>
      </c>
      <c r="G39" s="13" t="s">
        <v>465</v>
      </c>
      <c r="H39" s="238" t="s">
        <v>499</v>
      </c>
      <c r="I39" s="236"/>
      <c r="J39" s="236"/>
      <c r="K39" s="236"/>
    </row>
    <row r="40" spans="2:11" ht="12.75" customHeight="1">
      <c r="B40" s="13" t="str">
        <f t="shared" si="1"/>
        <v>11,Silent Movement</v>
      </c>
      <c r="C40" s="13">
        <v>11</v>
      </c>
      <c r="D40" s="238" t="s">
        <v>144</v>
      </c>
      <c r="E40" s="238"/>
      <c r="F40" s="13" t="s">
        <v>408</v>
      </c>
      <c r="G40" s="13" t="s">
        <v>409</v>
      </c>
      <c r="H40" s="238" t="s">
        <v>500</v>
      </c>
      <c r="I40" s="236"/>
      <c r="J40" s="236"/>
      <c r="K40" s="236"/>
    </row>
    <row r="41" spans="2:11" ht="12.75" customHeight="1">
      <c r="B41" s="13" t="str">
        <f t="shared" si="1"/>
        <v>11,Sleep</v>
      </c>
      <c r="C41" s="13">
        <v>11</v>
      </c>
      <c r="D41" s="238" t="s">
        <v>501</v>
      </c>
      <c r="E41" s="238"/>
      <c r="F41" s="13" t="s">
        <v>408</v>
      </c>
      <c r="G41" s="13" t="s">
        <v>443</v>
      </c>
      <c r="H41" s="238" t="s">
        <v>502</v>
      </c>
      <c r="I41" s="236"/>
      <c r="J41" s="236"/>
      <c r="K41" s="236"/>
    </row>
    <row r="42" spans="2:11" ht="12.75" customHeight="1">
      <c r="B42" s="13" t="str">
        <f t="shared" si="1"/>
        <v>11,Staff to Snake</v>
      </c>
      <c r="C42" s="13">
        <v>11</v>
      </c>
      <c r="D42" s="238" t="s">
        <v>503</v>
      </c>
      <c r="E42" s="238"/>
      <c r="F42" s="13" t="s">
        <v>408</v>
      </c>
      <c r="G42" s="13" t="s">
        <v>443</v>
      </c>
      <c r="H42" s="238" t="s">
        <v>504</v>
      </c>
      <c r="I42" s="236"/>
      <c r="J42" s="236"/>
      <c r="K42" s="236"/>
    </row>
    <row r="43" spans="2:11" ht="12.75" customHeight="1">
      <c r="B43" s="13" t="str">
        <f t="shared" si="1"/>
        <v>11,Summon Bear</v>
      </c>
      <c r="C43" s="13">
        <v>11</v>
      </c>
      <c r="D43" s="238" t="s">
        <v>505</v>
      </c>
      <c r="E43" s="238"/>
      <c r="F43" s="13" t="s">
        <v>417</v>
      </c>
      <c r="G43" s="13" t="s">
        <v>506</v>
      </c>
      <c r="H43" s="238" t="s">
        <v>507</v>
      </c>
      <c r="I43" s="236"/>
      <c r="J43" s="236"/>
      <c r="K43" s="236"/>
    </row>
    <row r="44" spans="2:11" ht="12.75" customHeight="1">
      <c r="B44" s="13" t="str">
        <f t="shared" si="1"/>
        <v>12,3-hex Fire</v>
      </c>
      <c r="C44" s="13">
        <v>12</v>
      </c>
      <c r="D44" s="238" t="s">
        <v>508</v>
      </c>
      <c r="E44" s="238"/>
      <c r="F44" s="13" t="s">
        <v>417</v>
      </c>
      <c r="G44" s="13" t="s">
        <v>465</v>
      </c>
      <c r="H44" s="238" t="s">
        <v>509</v>
      </c>
      <c r="I44" s="236"/>
      <c r="J44" s="236"/>
      <c r="K44" s="236"/>
    </row>
    <row r="45" spans="2:11" ht="12.75" customHeight="1">
      <c r="B45" s="13" t="str">
        <f t="shared" si="1"/>
        <v>12,3-Hex Shadow</v>
      </c>
      <c r="C45" s="13">
        <v>12</v>
      </c>
      <c r="D45" s="238" t="s">
        <v>510</v>
      </c>
      <c r="E45" s="238"/>
      <c r="F45" s="13" t="s">
        <v>417</v>
      </c>
      <c r="G45" s="13" t="s">
        <v>465</v>
      </c>
      <c r="H45" s="238" t="s">
        <v>511</v>
      </c>
      <c r="I45" s="236"/>
      <c r="J45" s="236"/>
      <c r="K45" s="236"/>
    </row>
    <row r="46" spans="2:11" ht="12.75" customHeight="1">
      <c r="B46" s="13" t="str">
        <f t="shared" si="1"/>
        <v>12,Analyse Magic</v>
      </c>
      <c r="C46" s="13">
        <v>12</v>
      </c>
      <c r="D46" s="238" t="s">
        <v>512</v>
      </c>
      <c r="E46" s="238"/>
      <c r="F46" s="13" t="s">
        <v>408</v>
      </c>
      <c r="G46" s="13" t="s">
        <v>477</v>
      </c>
      <c r="H46" s="238" t="s">
        <v>513</v>
      </c>
      <c r="I46" s="236"/>
      <c r="J46" s="236"/>
      <c r="K46" s="236"/>
    </row>
    <row r="47" spans="2:11" ht="12.75" customHeight="1">
      <c r="B47" s="13" t="str">
        <f t="shared" si="1"/>
        <v>12,Blast</v>
      </c>
      <c r="C47" s="13">
        <v>12</v>
      </c>
      <c r="D47" s="238" t="s">
        <v>514</v>
      </c>
      <c r="E47" s="238"/>
      <c r="F47" s="13" t="s">
        <v>408</v>
      </c>
      <c r="G47" s="13" t="s">
        <v>465</v>
      </c>
      <c r="H47" s="238" t="s">
        <v>515</v>
      </c>
      <c r="I47" s="236"/>
      <c r="J47" s="236"/>
      <c r="K47" s="236"/>
    </row>
    <row r="48" spans="2:11" ht="12.75" customHeight="1">
      <c r="B48" s="13" t="str">
        <f t="shared" si="1"/>
        <v>12,Break Weapon</v>
      </c>
      <c r="C48" s="13">
        <v>12</v>
      </c>
      <c r="D48" s="238" t="s">
        <v>516</v>
      </c>
      <c r="E48" s="238"/>
      <c r="F48" s="13" t="s">
        <v>408</v>
      </c>
      <c r="G48" s="13" t="s">
        <v>443</v>
      </c>
      <c r="H48" s="238" t="s">
        <v>517</v>
      </c>
      <c r="I48" s="236"/>
      <c r="J48" s="236"/>
      <c r="K48" s="236"/>
    </row>
    <row r="49" spans="2:11" ht="12.75" customHeight="1">
      <c r="B49" s="13" t="str">
        <f t="shared" si="1"/>
        <v>12,Drain Strength</v>
      </c>
      <c r="C49" s="13">
        <v>12</v>
      </c>
      <c r="D49" s="238" t="s">
        <v>518</v>
      </c>
      <c r="E49" s="238"/>
      <c r="F49" s="13" t="s">
        <v>431</v>
      </c>
      <c r="G49" s="13" t="s">
        <v>519</v>
      </c>
      <c r="H49" s="238" t="s">
        <v>520</v>
      </c>
      <c r="I49" s="236"/>
      <c r="J49" s="236"/>
      <c r="K49" s="236"/>
    </row>
    <row r="50" spans="2:11" ht="12.75" customHeight="1">
      <c r="B50" s="13" t="str">
        <f t="shared" si="1"/>
        <v>12,Eyes-Behind</v>
      </c>
      <c r="C50" s="13">
        <v>12</v>
      </c>
      <c r="D50" s="238" t="s">
        <v>521</v>
      </c>
      <c r="E50" s="238"/>
      <c r="F50" s="13" t="s">
        <v>408</v>
      </c>
      <c r="G50" s="13" t="s">
        <v>522</v>
      </c>
      <c r="H50" s="238" t="s">
        <v>523</v>
      </c>
      <c r="I50" s="236"/>
      <c r="J50" s="236"/>
      <c r="K50" s="236"/>
    </row>
    <row r="51" spans="2:11" ht="12.75" customHeight="1">
      <c r="B51" s="13" t="str">
        <f t="shared" si="1"/>
        <v>12,Fireball</v>
      </c>
      <c r="C51" s="13">
        <v>12</v>
      </c>
      <c r="D51" s="238" t="s">
        <v>524</v>
      </c>
      <c r="E51" s="238"/>
      <c r="F51" s="13" t="s">
        <v>424</v>
      </c>
      <c r="G51" s="13" t="s">
        <v>425</v>
      </c>
      <c r="H51" s="238" t="s">
        <v>525</v>
      </c>
      <c r="I51" s="236"/>
      <c r="J51" s="236"/>
      <c r="K51" s="236"/>
    </row>
    <row r="52" spans="2:11" ht="12.75" customHeight="1">
      <c r="B52" s="13" t="str">
        <f t="shared" si="1"/>
        <v>12,Freeze</v>
      </c>
      <c r="C52" s="13">
        <v>12</v>
      </c>
      <c r="D52" s="238" t="s">
        <v>526</v>
      </c>
      <c r="E52" s="238"/>
      <c r="F52" s="13" t="s">
        <v>408</v>
      </c>
      <c r="G52" s="13" t="s">
        <v>477</v>
      </c>
      <c r="H52" s="238" t="s">
        <v>527</v>
      </c>
      <c r="I52" s="236"/>
      <c r="J52" s="236"/>
      <c r="K52" s="236"/>
    </row>
    <row r="53" spans="2:11" ht="12.75" customHeight="1">
      <c r="B53" s="13" t="str">
        <f t="shared" si="1"/>
        <v>12,Invisibility</v>
      </c>
      <c r="C53" s="13">
        <v>12</v>
      </c>
      <c r="D53" s="238" t="s">
        <v>528</v>
      </c>
      <c r="E53" s="238"/>
      <c r="F53" s="13" t="s">
        <v>408</v>
      </c>
      <c r="G53" s="13" t="s">
        <v>522</v>
      </c>
      <c r="H53" s="238" t="s">
        <v>529</v>
      </c>
      <c r="I53" s="236"/>
      <c r="J53" s="236"/>
      <c r="K53" s="236"/>
    </row>
    <row r="54" spans="2:11" ht="12.75" customHeight="1">
      <c r="B54" s="13" t="str">
        <f t="shared" si="1"/>
        <v>12,Mage Sight</v>
      </c>
      <c r="C54" s="13">
        <v>12</v>
      </c>
      <c r="D54" s="238" t="s">
        <v>530</v>
      </c>
      <c r="E54" s="238"/>
      <c r="F54" s="13" t="s">
        <v>408</v>
      </c>
      <c r="G54" s="13" t="s">
        <v>428</v>
      </c>
      <c r="H54" s="238" t="s">
        <v>531</v>
      </c>
      <c r="I54" s="236"/>
      <c r="J54" s="236"/>
      <c r="K54" s="236"/>
    </row>
    <row r="55" spans="2:11" ht="12.75" customHeight="1">
      <c r="B55" s="13" t="str">
        <f t="shared" si="1"/>
        <v>12,Magic Rainstorm</v>
      </c>
      <c r="C55" s="13">
        <v>12</v>
      </c>
      <c r="D55" s="238" t="s">
        <v>532</v>
      </c>
      <c r="E55" s="238"/>
      <c r="F55" s="13" t="s">
        <v>417</v>
      </c>
      <c r="G55" s="13" t="s">
        <v>477</v>
      </c>
      <c r="H55" s="238" t="s">
        <v>533</v>
      </c>
      <c r="I55" s="236"/>
      <c r="J55" s="236"/>
      <c r="K55" s="236"/>
    </row>
    <row r="56" spans="2:11" ht="12.75" customHeight="1">
      <c r="B56" s="13" t="str">
        <f t="shared" si="1"/>
        <v>12,Repair</v>
      </c>
      <c r="C56" s="13">
        <v>12</v>
      </c>
      <c r="D56" s="238" t="s">
        <v>534</v>
      </c>
      <c r="E56" s="238"/>
      <c r="F56" s="13" t="s">
        <v>408</v>
      </c>
      <c r="G56" s="13" t="s">
        <v>535</v>
      </c>
      <c r="H56" s="238" t="s">
        <v>536</v>
      </c>
      <c r="I56" s="236"/>
      <c r="J56" s="236"/>
      <c r="K56" s="236"/>
    </row>
    <row r="57" spans="2:11" ht="12.75" customHeight="1">
      <c r="B57" s="13" t="str">
        <f t="shared" si="1"/>
        <v>13,3-Hex Wall</v>
      </c>
      <c r="C57" s="13">
        <v>13</v>
      </c>
      <c r="D57" s="238" t="s">
        <v>537</v>
      </c>
      <c r="E57" s="238"/>
      <c r="F57" s="13" t="s">
        <v>417</v>
      </c>
      <c r="G57" s="13" t="s">
        <v>477</v>
      </c>
      <c r="H57" s="238" t="s">
        <v>538</v>
      </c>
      <c r="I57" s="236"/>
      <c r="J57" s="236"/>
      <c r="K57" s="236"/>
    </row>
    <row r="58" spans="2:11" ht="12.75" customHeight="1">
      <c r="B58" s="13" t="str">
        <f t="shared" si="1"/>
        <v>13,4-Hex Image</v>
      </c>
      <c r="C58" s="13">
        <v>13</v>
      </c>
      <c r="D58" s="238" t="s">
        <v>539</v>
      </c>
      <c r="E58" s="238"/>
      <c r="F58" s="13" t="s">
        <v>417</v>
      </c>
      <c r="G58" s="13" t="s">
        <v>465</v>
      </c>
      <c r="H58" s="238" t="s">
        <v>540</v>
      </c>
      <c r="I58" s="236"/>
      <c r="J58" s="236"/>
      <c r="K58" s="236"/>
    </row>
    <row r="59" spans="2:11" ht="12.75" customHeight="1">
      <c r="B59" s="13" t="str">
        <f t="shared" si="1"/>
        <v>13,Control Elemental</v>
      </c>
      <c r="C59" s="13">
        <v>13</v>
      </c>
      <c r="D59" s="238" t="s">
        <v>541</v>
      </c>
      <c r="E59" s="238"/>
      <c r="F59" s="13" t="s">
        <v>408</v>
      </c>
      <c r="G59" s="13" t="s">
        <v>522</v>
      </c>
      <c r="H59" s="238" t="s">
        <v>542</v>
      </c>
      <c r="I59" s="236"/>
      <c r="J59" s="236"/>
      <c r="K59" s="236"/>
    </row>
    <row r="60" spans="2:11" ht="12.75" customHeight="1">
      <c r="B60" s="13" t="str">
        <f t="shared" si="1"/>
        <v>13,Control Person</v>
      </c>
      <c r="C60" s="13">
        <v>13</v>
      </c>
      <c r="D60" s="238" t="s">
        <v>543</v>
      </c>
      <c r="E60" s="238"/>
      <c r="F60" s="13" t="s">
        <v>408</v>
      </c>
      <c r="G60" s="13" t="s">
        <v>522</v>
      </c>
      <c r="H60" s="238" t="s">
        <v>544</v>
      </c>
      <c r="I60" s="236"/>
      <c r="J60" s="236"/>
      <c r="K60" s="236"/>
    </row>
    <row r="61" spans="2:11" ht="12.75" customHeight="1">
      <c r="B61" s="13" t="str">
        <f t="shared" si="1"/>
        <v>13,Curse</v>
      </c>
      <c r="C61" s="13">
        <v>13</v>
      </c>
      <c r="D61" s="238" t="s">
        <v>545</v>
      </c>
      <c r="E61" s="238"/>
      <c r="F61" s="13" t="s">
        <v>408</v>
      </c>
      <c r="G61" s="13" t="s">
        <v>425</v>
      </c>
      <c r="H61" s="238" t="s">
        <v>546</v>
      </c>
      <c r="I61" s="236"/>
      <c r="J61" s="236"/>
      <c r="K61" s="236"/>
    </row>
    <row r="62" spans="2:11" ht="12.75" customHeight="1">
      <c r="B62" s="13" t="str">
        <f t="shared" si="1"/>
        <v>13,Fireproofing</v>
      </c>
      <c r="C62" s="13">
        <v>13</v>
      </c>
      <c r="D62" s="238" t="s">
        <v>547</v>
      </c>
      <c r="E62" s="238"/>
      <c r="F62" s="13" t="s">
        <v>408</v>
      </c>
      <c r="G62" s="13" t="s">
        <v>522</v>
      </c>
      <c r="H62" s="238" t="s">
        <v>548</v>
      </c>
      <c r="I62" s="236"/>
      <c r="J62" s="236"/>
      <c r="K62" s="236"/>
    </row>
    <row r="63" spans="2:11" ht="12.75" customHeight="1">
      <c r="B63" s="13" t="str">
        <f t="shared" si="1"/>
        <v>13,Flight</v>
      </c>
      <c r="C63" s="13">
        <v>13</v>
      </c>
      <c r="D63" s="238" t="s">
        <v>549</v>
      </c>
      <c r="E63" s="238"/>
      <c r="F63" s="13" t="s">
        <v>408</v>
      </c>
      <c r="G63" s="13" t="s">
        <v>522</v>
      </c>
      <c r="H63" s="238" t="s">
        <v>550</v>
      </c>
      <c r="I63" s="236"/>
      <c r="J63" s="236"/>
      <c r="K63" s="236"/>
    </row>
    <row r="64" spans="2:11" ht="12.75" customHeight="1">
      <c r="B64" s="13" t="str">
        <f t="shared" si="1"/>
        <v>13,Open Tunnel</v>
      </c>
      <c r="C64" s="13">
        <v>13</v>
      </c>
      <c r="D64" s="238" t="s">
        <v>551</v>
      </c>
      <c r="E64" s="238"/>
      <c r="F64" s="13" t="s">
        <v>408</v>
      </c>
      <c r="G64" s="13" t="s">
        <v>552</v>
      </c>
      <c r="H64" s="238" t="s">
        <v>553</v>
      </c>
      <c r="I64" s="236"/>
      <c r="J64" s="236"/>
      <c r="K64" s="236"/>
    </row>
    <row r="65" spans="2:11" ht="12.75" customHeight="1">
      <c r="B65" s="13" t="str">
        <f t="shared" si="1"/>
        <v>13,Slippery Floor</v>
      </c>
      <c r="C65" s="13">
        <v>13</v>
      </c>
      <c r="D65" s="238" t="s">
        <v>554</v>
      </c>
      <c r="E65" s="238"/>
      <c r="F65" s="13" t="s">
        <v>408</v>
      </c>
      <c r="G65" s="13" t="s">
        <v>555</v>
      </c>
      <c r="H65" s="238" t="s">
        <v>556</v>
      </c>
      <c r="I65" s="236"/>
      <c r="J65" s="236"/>
      <c r="K65" s="236"/>
    </row>
    <row r="66" spans="2:11" ht="12.75" customHeight="1">
      <c r="B66" s="13" t="str">
        <f t="shared" ref="B66:B85" si="2">CONCATENATE(C66,",",D66)</f>
        <v>13,Sticky Floor</v>
      </c>
      <c r="C66" s="13">
        <v>13</v>
      </c>
      <c r="D66" s="238" t="s">
        <v>557</v>
      </c>
      <c r="E66" s="238"/>
      <c r="F66" s="13" t="s">
        <v>408</v>
      </c>
      <c r="G66" s="13" t="s">
        <v>443</v>
      </c>
      <c r="H66" s="238" t="s">
        <v>558</v>
      </c>
      <c r="I66" s="236"/>
      <c r="J66" s="236"/>
      <c r="K66" s="236"/>
    </row>
    <row r="67" spans="2:11" ht="12.75" customHeight="1">
      <c r="B67" s="13" t="str">
        <f t="shared" si="2"/>
        <v>13,Stone Flesh</v>
      </c>
      <c r="C67" s="13">
        <v>13</v>
      </c>
      <c r="D67" s="238" t="s">
        <v>559</v>
      </c>
      <c r="E67" s="238"/>
      <c r="F67" s="13" t="s">
        <v>408</v>
      </c>
      <c r="G67" s="13" t="s">
        <v>428</v>
      </c>
      <c r="H67" s="238" t="s">
        <v>560</v>
      </c>
      <c r="I67" s="236"/>
      <c r="J67" s="236"/>
      <c r="K67" s="236"/>
    </row>
    <row r="68" spans="2:11" ht="12.75" customHeight="1">
      <c r="B68" s="13" t="str">
        <f t="shared" si="2"/>
        <v>13,Stop</v>
      </c>
      <c r="C68" s="13">
        <v>13</v>
      </c>
      <c r="D68" s="238" t="s">
        <v>561</v>
      </c>
      <c r="E68" s="238"/>
      <c r="F68" s="13" t="s">
        <v>408</v>
      </c>
      <c r="G68" s="13" t="s">
        <v>443</v>
      </c>
      <c r="H68" s="238" t="s">
        <v>562</v>
      </c>
      <c r="I68" s="236"/>
      <c r="J68" s="236"/>
      <c r="K68" s="236"/>
    </row>
    <row r="69" spans="2:11" ht="12.75" customHeight="1">
      <c r="B69" s="13" t="str">
        <f t="shared" si="2"/>
        <v>13,Summon Gargoyle</v>
      </c>
      <c r="C69" s="13">
        <v>13</v>
      </c>
      <c r="D69" s="238" t="s">
        <v>563</v>
      </c>
      <c r="E69" s="238"/>
      <c r="F69" s="13" t="s">
        <v>417</v>
      </c>
      <c r="G69" s="13" t="s">
        <v>506</v>
      </c>
      <c r="H69" s="238" t="s">
        <v>564</v>
      </c>
      <c r="I69" s="236"/>
      <c r="J69" s="236"/>
      <c r="K69" s="236"/>
    </row>
    <row r="70" spans="2:11" ht="12.75" customHeight="1">
      <c r="B70" s="13" t="str">
        <f t="shared" si="2"/>
        <v>13,Telekinesis</v>
      </c>
      <c r="C70" s="13">
        <v>13</v>
      </c>
      <c r="D70" s="238" t="s">
        <v>565</v>
      </c>
      <c r="E70" s="238"/>
      <c r="F70" s="13" t="s">
        <v>408</v>
      </c>
      <c r="G70" s="13" t="s">
        <v>566</v>
      </c>
      <c r="H70" s="238" t="s">
        <v>567</v>
      </c>
      <c r="I70" s="236"/>
      <c r="J70" s="236"/>
      <c r="K70" s="236"/>
    </row>
    <row r="71" spans="2:11" ht="12.75" customHeight="1">
      <c r="B71" s="13" t="str">
        <f t="shared" si="2"/>
        <v>14,4-Hex Illusion</v>
      </c>
      <c r="C71" s="13">
        <v>14</v>
      </c>
      <c r="D71" s="238" t="s">
        <v>568</v>
      </c>
      <c r="E71" s="238"/>
      <c r="F71" s="13" t="s">
        <v>417</v>
      </c>
      <c r="G71" s="13" t="s">
        <v>443</v>
      </c>
      <c r="H71" s="238" t="s">
        <v>569</v>
      </c>
      <c r="I71" s="236"/>
      <c r="J71" s="236"/>
      <c r="K71" s="236"/>
    </row>
    <row r="72" spans="2:11" ht="12.75" customHeight="1">
      <c r="B72" s="13" t="str">
        <f t="shared" si="2"/>
        <v>14,Dispell Illusions</v>
      </c>
      <c r="C72" s="13">
        <v>14</v>
      </c>
      <c r="D72" s="238" t="s">
        <v>570</v>
      </c>
      <c r="E72" s="238"/>
      <c r="F72" s="13" t="s">
        <v>431</v>
      </c>
      <c r="G72" s="13" t="s">
        <v>432</v>
      </c>
      <c r="H72" s="238" t="s">
        <v>571</v>
      </c>
      <c r="I72" s="236"/>
      <c r="J72" s="236"/>
      <c r="K72" s="236"/>
    </row>
    <row r="73" spans="2:11" ht="12.75" customHeight="1">
      <c r="B73" s="13" t="str">
        <f t="shared" si="2"/>
        <v>14,Explosive Gem</v>
      </c>
      <c r="C73" s="13">
        <v>14</v>
      </c>
      <c r="D73" s="238" t="s">
        <v>572</v>
      </c>
      <c r="E73" s="238"/>
      <c r="F73" s="13" t="s">
        <v>431</v>
      </c>
      <c r="G73" s="13" t="s">
        <v>573</v>
      </c>
      <c r="H73" s="238" t="s">
        <v>574</v>
      </c>
      <c r="I73" s="236"/>
      <c r="J73" s="236"/>
      <c r="K73" s="236"/>
    </row>
    <row r="74" spans="2:11" ht="12.75" customHeight="1">
      <c r="B74" s="13" t="str">
        <f t="shared" si="2"/>
        <v>14,Fresh Air</v>
      </c>
      <c r="C74" s="13">
        <v>14</v>
      </c>
      <c r="D74" s="238" t="s">
        <v>575</v>
      </c>
      <c r="E74" s="238"/>
      <c r="F74" s="13" t="s">
        <v>408</v>
      </c>
      <c r="G74" s="13" t="s">
        <v>428</v>
      </c>
      <c r="H74" s="238" t="s">
        <v>576</v>
      </c>
      <c r="I74" s="236"/>
      <c r="J74" s="236"/>
      <c r="K74" s="236"/>
    </row>
    <row r="75" spans="2:11" ht="12.75" customHeight="1">
      <c r="B75" s="13" t="str">
        <f t="shared" si="2"/>
        <v>14,Glamour</v>
      </c>
      <c r="C75" s="13">
        <v>14</v>
      </c>
      <c r="D75" s="238" t="s">
        <v>577</v>
      </c>
      <c r="E75" s="238"/>
      <c r="F75" s="13" t="s">
        <v>408</v>
      </c>
      <c r="G75" s="13" t="s">
        <v>552</v>
      </c>
      <c r="H75" s="238" t="s">
        <v>578</v>
      </c>
      <c r="I75" s="236"/>
      <c r="J75" s="236"/>
      <c r="K75" s="236"/>
    </row>
    <row r="76" spans="2:11" ht="12.75" customHeight="1">
      <c r="B76" s="13" t="str">
        <f t="shared" si="2"/>
        <v>14,Lightning</v>
      </c>
      <c r="C76" s="13">
        <v>14</v>
      </c>
      <c r="D76" s="238" t="s">
        <v>579</v>
      </c>
      <c r="E76" s="238"/>
      <c r="F76" s="13" t="s">
        <v>424</v>
      </c>
      <c r="G76" s="13" t="s">
        <v>425</v>
      </c>
      <c r="H76" s="238" t="s">
        <v>580</v>
      </c>
      <c r="I76" s="236"/>
      <c r="J76" s="236"/>
      <c r="K76" s="236"/>
    </row>
    <row r="77" spans="2:11" ht="12.75" customHeight="1">
      <c r="B77" s="13" t="str">
        <f t="shared" si="2"/>
        <v>14,Remove Thrown Spell</v>
      </c>
      <c r="C77" s="13">
        <v>14</v>
      </c>
      <c r="D77" s="238" t="s">
        <v>581</v>
      </c>
      <c r="E77" s="238"/>
      <c r="F77" s="13" t="s">
        <v>582</v>
      </c>
      <c r="G77" s="13" t="s">
        <v>465</v>
      </c>
      <c r="H77" s="238" t="s">
        <v>583</v>
      </c>
      <c r="I77" s="236"/>
      <c r="J77" s="236"/>
      <c r="K77" s="236"/>
    </row>
    <row r="78" spans="2:11" ht="12.75" customHeight="1">
      <c r="B78" s="13" t="str">
        <f t="shared" si="2"/>
        <v>14,Spell Shield</v>
      </c>
      <c r="C78" s="13">
        <v>14</v>
      </c>
      <c r="D78" s="238" t="s">
        <v>584</v>
      </c>
      <c r="E78" s="238"/>
      <c r="F78" s="13" t="s">
        <v>408</v>
      </c>
      <c r="G78" s="13" t="s">
        <v>522</v>
      </c>
      <c r="H78" s="238" t="s">
        <v>585</v>
      </c>
      <c r="I78" s="236"/>
      <c r="J78" s="236"/>
      <c r="K78" s="236"/>
    </row>
    <row r="79" spans="2:11" ht="12.75" customHeight="1">
      <c r="B79" s="13" t="str">
        <f t="shared" si="2"/>
        <v>14,Summon Giant</v>
      </c>
      <c r="C79" s="13">
        <v>14</v>
      </c>
      <c r="D79" s="238" t="s">
        <v>586</v>
      </c>
      <c r="E79" s="238"/>
      <c r="F79" s="13" t="s">
        <v>417</v>
      </c>
      <c r="G79" s="13" t="s">
        <v>506</v>
      </c>
      <c r="H79" s="238" t="s">
        <v>587</v>
      </c>
      <c r="I79" s="236"/>
      <c r="J79" s="236"/>
      <c r="K79" s="236"/>
    </row>
    <row r="80" spans="2:11" ht="12.75" customHeight="1">
      <c r="B80" s="13" t="str">
        <f t="shared" si="2"/>
        <v>14,Summon Lesser Demon</v>
      </c>
      <c r="C80" s="13">
        <v>14</v>
      </c>
      <c r="D80" s="238" t="s">
        <v>588</v>
      </c>
      <c r="E80" s="238"/>
      <c r="F80" s="13" t="s">
        <v>417</v>
      </c>
      <c r="G80" s="13" t="s">
        <v>589</v>
      </c>
      <c r="H80" s="238" t="s">
        <v>590</v>
      </c>
      <c r="I80" s="236"/>
      <c r="J80" s="236"/>
      <c r="K80" s="236"/>
    </row>
    <row r="81" spans="2:11" ht="12.75" customHeight="1">
      <c r="B81" s="13" t="str">
        <f t="shared" si="2"/>
        <v>14,Telepathy</v>
      </c>
      <c r="C81" s="13">
        <v>14</v>
      </c>
      <c r="D81" s="238" t="s">
        <v>591</v>
      </c>
      <c r="E81" s="238"/>
      <c r="F81" s="13" t="s">
        <v>408</v>
      </c>
      <c r="G81" s="13" t="s">
        <v>506</v>
      </c>
      <c r="H81" s="238" t="s">
        <v>592</v>
      </c>
      <c r="I81" s="236"/>
      <c r="J81" s="236"/>
      <c r="K81" s="236"/>
    </row>
    <row r="82" spans="2:11" ht="12.75" customHeight="1">
      <c r="B82" s="13" t="str">
        <f t="shared" si="2"/>
        <v>14,Weapon/Armour Enchantment</v>
      </c>
      <c r="C82" s="13">
        <v>14</v>
      </c>
      <c r="D82" s="238" t="s">
        <v>593</v>
      </c>
      <c r="E82" s="238"/>
      <c r="F82" s="13" t="s">
        <v>408</v>
      </c>
      <c r="G82" s="13"/>
      <c r="H82" s="238" t="s">
        <v>594</v>
      </c>
      <c r="I82" s="236"/>
      <c r="J82" s="236"/>
      <c r="K82" s="236"/>
    </row>
    <row r="83" spans="2:11" ht="12.75" customHeight="1">
      <c r="B83" s="13" t="str">
        <f t="shared" si="2"/>
        <v>,</v>
      </c>
      <c r="C83" s="13"/>
      <c r="D83" s="13"/>
      <c r="E83" s="13"/>
      <c r="F83" s="13"/>
      <c r="G83" s="13"/>
      <c r="H83" s="238"/>
      <c r="I83" s="236"/>
      <c r="J83" s="236"/>
      <c r="K83" s="236"/>
    </row>
    <row r="84" spans="2:11" ht="12.75" customHeight="1">
      <c r="B84" s="13" t="str">
        <f t="shared" si="2"/>
        <v>,</v>
      </c>
      <c r="C84" s="13"/>
      <c r="D84" s="13"/>
      <c r="E84" s="13"/>
      <c r="F84" s="13"/>
      <c r="G84" s="13"/>
      <c r="H84" s="238"/>
      <c r="I84" s="236"/>
      <c r="J84" s="236"/>
      <c r="K84" s="236"/>
    </row>
    <row r="85" spans="2:11" ht="12.75" customHeight="1">
      <c r="B85" s="13" t="str">
        <f t="shared" si="2"/>
        <v>,</v>
      </c>
      <c r="C85" s="13"/>
      <c r="D85" s="13"/>
      <c r="E85" s="13"/>
      <c r="F85" s="13"/>
      <c r="G85" s="13"/>
      <c r="H85" s="238"/>
      <c r="I85" s="236"/>
      <c r="J85" s="236"/>
      <c r="K85" s="236"/>
    </row>
    <row r="86" spans="2:11" ht="12.75" customHeight="1">
      <c r="B86" s="13"/>
      <c r="C86" s="13"/>
      <c r="D86" s="13"/>
      <c r="E86" s="13"/>
      <c r="F86" s="13"/>
      <c r="G86" s="13"/>
      <c r="H86" s="13"/>
    </row>
    <row r="87" spans="2:11" ht="12.75" customHeight="1">
      <c r="B87" s="13"/>
      <c r="C87" s="13"/>
      <c r="D87" s="13"/>
      <c r="E87" s="13"/>
      <c r="F87" s="13"/>
      <c r="G87" s="13"/>
      <c r="H87" s="13"/>
    </row>
    <row r="88" spans="2:11" ht="12.75" customHeight="1">
      <c r="B88" s="13"/>
      <c r="C88" s="13"/>
      <c r="D88" s="13"/>
      <c r="E88" s="13"/>
      <c r="F88" s="13"/>
      <c r="G88" s="13"/>
      <c r="H88" s="13"/>
    </row>
    <row r="89" spans="2:11" ht="12.75" customHeight="1">
      <c r="B89" s="13"/>
      <c r="C89" s="13"/>
      <c r="D89" s="13"/>
      <c r="E89" s="13"/>
      <c r="F89" s="13"/>
      <c r="G89" s="13"/>
      <c r="H89" s="13"/>
    </row>
    <row r="90" spans="2:11" ht="12.75" customHeight="1">
      <c r="B90" s="13"/>
      <c r="C90" s="13"/>
      <c r="D90" s="13"/>
      <c r="E90" s="13"/>
      <c r="F90" s="13"/>
      <c r="G90" s="13"/>
      <c r="H90" s="13"/>
    </row>
    <row r="91" spans="2:11" ht="12.75" customHeight="1">
      <c r="B91" s="13"/>
      <c r="C91" s="13"/>
      <c r="D91" s="13"/>
      <c r="E91" s="13"/>
      <c r="F91" s="13"/>
      <c r="G91" s="13"/>
      <c r="H91" s="13"/>
    </row>
    <row r="92" spans="2:11" ht="12.75" customHeight="1">
      <c r="B92" s="13"/>
      <c r="C92" s="13"/>
      <c r="D92" s="13"/>
      <c r="E92" s="13"/>
      <c r="F92" s="13"/>
      <c r="G92" s="13"/>
      <c r="H92" s="13"/>
    </row>
    <row r="93" spans="2:11" ht="12.75" customHeight="1">
      <c r="B93" s="13"/>
      <c r="C93" s="13"/>
      <c r="D93" s="13"/>
      <c r="E93" s="13"/>
      <c r="F93" s="13"/>
      <c r="G93" s="13"/>
      <c r="H93" s="13"/>
    </row>
    <row r="94" spans="2:11" ht="12.75" customHeight="1">
      <c r="B94" s="13"/>
      <c r="C94" s="13"/>
      <c r="D94" s="13"/>
      <c r="E94" s="13"/>
      <c r="F94" s="13"/>
      <c r="G94" s="13"/>
      <c r="H94" s="13"/>
    </row>
    <row r="95" spans="2:11" ht="12.75" customHeight="1">
      <c r="B95" s="13"/>
      <c r="C95" s="13"/>
      <c r="D95" s="13"/>
      <c r="E95" s="13"/>
      <c r="F95" s="13"/>
      <c r="G95" s="13"/>
      <c r="H95" s="13"/>
    </row>
    <row r="96" spans="2:11" ht="12.75" customHeight="1">
      <c r="B96" s="13"/>
      <c r="C96" s="13"/>
      <c r="D96" s="13"/>
      <c r="E96" s="13"/>
      <c r="F96" s="13"/>
      <c r="G96" s="13"/>
      <c r="H96" s="13"/>
    </row>
    <row r="97" spans="2:8" ht="12.75" customHeight="1">
      <c r="B97" s="13"/>
      <c r="C97" s="13"/>
      <c r="D97" s="13"/>
      <c r="E97" s="13"/>
      <c r="F97" s="13"/>
      <c r="G97" s="13"/>
      <c r="H97" s="13"/>
    </row>
    <row r="98" spans="2:8" ht="12.75" customHeight="1">
      <c r="B98" s="13"/>
      <c r="C98" s="13"/>
      <c r="D98" s="13"/>
      <c r="E98" s="13"/>
      <c r="F98" s="13"/>
      <c r="G98" s="13"/>
      <c r="H98" s="13"/>
    </row>
    <row r="99" spans="2:8" ht="12.75" customHeight="1">
      <c r="B99" s="13"/>
      <c r="C99" s="13"/>
      <c r="D99" s="13"/>
      <c r="E99" s="13"/>
      <c r="F99" s="13"/>
      <c r="G99" s="13"/>
      <c r="H99" s="13"/>
    </row>
    <row r="100" spans="2:8" ht="12.75" customHeight="1">
      <c r="B100" s="13"/>
      <c r="C100" s="13"/>
      <c r="D100" s="13"/>
      <c r="E100" s="13"/>
      <c r="F100" s="13"/>
      <c r="G100" s="13"/>
      <c r="H100" s="13"/>
    </row>
    <row r="101" spans="2:8" ht="12.75" customHeight="1">
      <c r="B101" s="13"/>
      <c r="C101" s="13"/>
      <c r="D101" s="13"/>
      <c r="E101" s="13"/>
      <c r="F101" s="13"/>
      <c r="G101" s="13"/>
      <c r="H101" s="13"/>
    </row>
  </sheetData>
  <mergeCells count="164">
    <mergeCell ref="D82:E82"/>
    <mergeCell ref="H82:K82"/>
    <mergeCell ref="H83:K83"/>
    <mergeCell ref="H84:K84"/>
    <mergeCell ref="H85:K85"/>
    <mergeCell ref="D77:E77"/>
    <mergeCell ref="H77:K77"/>
    <mergeCell ref="D78:E78"/>
    <mergeCell ref="H78:K78"/>
    <mergeCell ref="D79:E79"/>
    <mergeCell ref="H79:K79"/>
    <mergeCell ref="D80:E80"/>
    <mergeCell ref="H80:K80"/>
    <mergeCell ref="D81:E81"/>
    <mergeCell ref="H81:K81"/>
    <mergeCell ref="D72:E72"/>
    <mergeCell ref="H72:K72"/>
    <mergeCell ref="D73:E73"/>
    <mergeCell ref="H73:K73"/>
    <mergeCell ref="D74:E74"/>
    <mergeCell ref="H74:K74"/>
    <mergeCell ref="D75:E75"/>
    <mergeCell ref="H75:K75"/>
    <mergeCell ref="D76:E76"/>
    <mergeCell ref="H76:K76"/>
    <mergeCell ref="D67:E67"/>
    <mergeCell ref="H67:K67"/>
    <mergeCell ref="D68:E68"/>
    <mergeCell ref="H68:K68"/>
    <mergeCell ref="D69:E69"/>
    <mergeCell ref="H69:K69"/>
    <mergeCell ref="D70:E70"/>
    <mergeCell ref="H70:K70"/>
    <mergeCell ref="D71:E71"/>
    <mergeCell ref="H71:K71"/>
    <mergeCell ref="D62:E62"/>
    <mergeCell ref="H62:K62"/>
    <mergeCell ref="D63:E63"/>
    <mergeCell ref="H63:K63"/>
    <mergeCell ref="D64:E64"/>
    <mergeCell ref="H64:K64"/>
    <mergeCell ref="D65:E65"/>
    <mergeCell ref="H65:K65"/>
    <mergeCell ref="D66:E66"/>
    <mergeCell ref="H66:K66"/>
    <mergeCell ref="D57:E57"/>
    <mergeCell ref="H57:K57"/>
    <mergeCell ref="D58:E58"/>
    <mergeCell ref="H58:K58"/>
    <mergeCell ref="D59:E59"/>
    <mergeCell ref="H59:K59"/>
    <mergeCell ref="D60:E60"/>
    <mergeCell ref="H60:K60"/>
    <mergeCell ref="D61:E61"/>
    <mergeCell ref="H61:K61"/>
    <mergeCell ref="D52:E52"/>
    <mergeCell ref="H52:K52"/>
    <mergeCell ref="D53:E53"/>
    <mergeCell ref="H53:K53"/>
    <mergeCell ref="D54:E54"/>
    <mergeCell ref="H54:K54"/>
    <mergeCell ref="D55:E55"/>
    <mergeCell ref="H55:K55"/>
    <mergeCell ref="D56:E56"/>
    <mergeCell ref="H56:K56"/>
    <mergeCell ref="D47:E47"/>
    <mergeCell ref="H47:K47"/>
    <mergeCell ref="D48:E48"/>
    <mergeCell ref="H48:K48"/>
    <mergeCell ref="D49:E49"/>
    <mergeCell ref="H49:K49"/>
    <mergeCell ref="D50:E50"/>
    <mergeCell ref="H50:K50"/>
    <mergeCell ref="D51:E51"/>
    <mergeCell ref="H51:K51"/>
    <mergeCell ref="D42:E42"/>
    <mergeCell ref="H42:K42"/>
    <mergeCell ref="D43:E43"/>
    <mergeCell ref="H43:K43"/>
    <mergeCell ref="D44:E44"/>
    <mergeCell ref="H44:K44"/>
    <mergeCell ref="D45:E45"/>
    <mergeCell ref="H45:K45"/>
    <mergeCell ref="D46:E46"/>
    <mergeCell ref="H46:K46"/>
    <mergeCell ref="D37:E37"/>
    <mergeCell ref="H37:K37"/>
    <mergeCell ref="D38:E38"/>
    <mergeCell ref="H38:K38"/>
    <mergeCell ref="D39:E39"/>
    <mergeCell ref="H39:K39"/>
    <mergeCell ref="D40:E40"/>
    <mergeCell ref="H40:K40"/>
    <mergeCell ref="D41:E41"/>
    <mergeCell ref="H41:K41"/>
    <mergeCell ref="D32:E32"/>
    <mergeCell ref="H32:K32"/>
    <mergeCell ref="D33:E33"/>
    <mergeCell ref="H33:K33"/>
    <mergeCell ref="D34:E34"/>
    <mergeCell ref="H34:K34"/>
    <mergeCell ref="D35:E35"/>
    <mergeCell ref="H35:K35"/>
    <mergeCell ref="D36:E36"/>
    <mergeCell ref="H36:K36"/>
    <mergeCell ref="D27:E27"/>
    <mergeCell ref="H27:K27"/>
    <mergeCell ref="D28:E28"/>
    <mergeCell ref="H28:K28"/>
    <mergeCell ref="D29:E29"/>
    <mergeCell ref="H29:K29"/>
    <mergeCell ref="D30:E30"/>
    <mergeCell ref="H30:K30"/>
    <mergeCell ref="D31:E31"/>
    <mergeCell ref="H31:K31"/>
    <mergeCell ref="D22:E22"/>
    <mergeCell ref="H22:K22"/>
    <mergeCell ref="D23:E23"/>
    <mergeCell ref="H23:K23"/>
    <mergeCell ref="D24:E24"/>
    <mergeCell ref="H24:K24"/>
    <mergeCell ref="D25:E25"/>
    <mergeCell ref="H25:K25"/>
    <mergeCell ref="D26:E26"/>
    <mergeCell ref="H26:K26"/>
    <mergeCell ref="D17:E17"/>
    <mergeCell ref="H17:K17"/>
    <mergeCell ref="D18:E18"/>
    <mergeCell ref="H18:K18"/>
    <mergeCell ref="D19:E19"/>
    <mergeCell ref="H19:K19"/>
    <mergeCell ref="D20:E20"/>
    <mergeCell ref="H20:K20"/>
    <mergeCell ref="D21:E21"/>
    <mergeCell ref="H21:K21"/>
    <mergeCell ref="D12:E12"/>
    <mergeCell ref="H12:K12"/>
    <mergeCell ref="D13:E13"/>
    <mergeCell ref="H13:K13"/>
    <mergeCell ref="D14:E14"/>
    <mergeCell ref="H14:K14"/>
    <mergeCell ref="D15:E15"/>
    <mergeCell ref="H15:K15"/>
    <mergeCell ref="D16:E16"/>
    <mergeCell ref="H16:K16"/>
    <mergeCell ref="D7:E7"/>
    <mergeCell ref="H7:K7"/>
    <mergeCell ref="D8:E8"/>
    <mergeCell ref="H8:K8"/>
    <mergeCell ref="D9:E9"/>
    <mergeCell ref="H9:K9"/>
    <mergeCell ref="D10:E10"/>
    <mergeCell ref="H10:K10"/>
    <mergeCell ref="D11:E11"/>
    <mergeCell ref="H11:K11"/>
    <mergeCell ref="D1:E1"/>
    <mergeCell ref="D3:E3"/>
    <mergeCell ref="H3:K3"/>
    <mergeCell ref="D4:E4"/>
    <mergeCell ref="H4:K4"/>
    <mergeCell ref="D5:E5"/>
    <mergeCell ref="H5:K5"/>
    <mergeCell ref="D6:E6"/>
    <mergeCell ref="H6:K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TFTSheet1</vt:lpstr>
      <vt:lpstr>Minion Maker</vt:lpstr>
      <vt:lpstr>Minion Sheet</vt:lpstr>
      <vt:lpstr>Talents 2</vt:lpstr>
      <vt:lpstr>Instructions</vt:lpstr>
      <vt:lpstr>Arms</vt:lpstr>
      <vt:lpstr>Race</vt:lpstr>
      <vt:lpstr>Talents</vt:lpstr>
      <vt:lpstr>spells</vt:lpstr>
      <vt:lpstr>defense</vt:lpstr>
      <vt:lpstr>Sheet1</vt:lpstr>
      <vt:lpstr>armor</vt:lpstr>
      <vt:lpstr>costCol</vt:lpstr>
      <vt:lpstr>damCol</vt:lpstr>
      <vt:lpstr>magicspells</vt:lpstr>
      <vt:lpstr>races</vt:lpstr>
      <vt:lpstr>ShieldHomeCell</vt:lpstr>
      <vt:lpstr>shields</vt:lpstr>
      <vt:lpstr>strength</vt:lpstr>
      <vt:lpstr>strMinCol</vt:lpstr>
      <vt:lpstr>talents</vt:lpstr>
      <vt:lpstr>totWt</vt:lpstr>
      <vt:lpstr>weapons</vt:lpstr>
      <vt:lpstr>wtCol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jdsirag</cp:lastModifiedBy>
  <cp:lastPrinted>2013-08-20T21:21:19Z</cp:lastPrinted>
  <dcterms:created xsi:type="dcterms:W3CDTF">2013-08-09T20:12:19Z</dcterms:created>
  <dcterms:modified xsi:type="dcterms:W3CDTF">2013-08-20T21:49:48Z</dcterms:modified>
</cp:coreProperties>
</file>